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5380FPSA-VM\Users\cs860224\Desktop\"/>
    </mc:Choice>
  </mc:AlternateContent>
  <bookViews>
    <workbookView xWindow="0" yWindow="0" windowWidth="28800" windowHeight="12330" tabRatio="251"/>
  </bookViews>
  <sheets>
    <sheet name="Pressupostos" sheetId="2" r:id="rId1"/>
    <sheet name="Cálculos" sheetId="1" state="hidden" r:id="rId2"/>
    <sheet name="Lista" sheetId="3" state="hidden" r:id="rId3"/>
    <sheet name="Relatório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2" l="1"/>
  <c r="F46" i="2" s="1"/>
  <c r="C39" i="2" l="1"/>
  <c r="C37" i="2"/>
  <c r="L33" i="1" l="1"/>
  <c r="C32" i="2" l="1"/>
  <c r="F32" i="2"/>
  <c r="R21" i="2" l="1"/>
  <c r="BZ32" i="2" l="1"/>
  <c r="BT32" i="2"/>
  <c r="E14" i="4" l="1"/>
  <c r="C14" i="4"/>
  <c r="B14" i="4"/>
  <c r="E12" i="4"/>
  <c r="C12" i="4"/>
  <c r="B12" i="4"/>
  <c r="E10" i="4"/>
  <c r="B10" i="4"/>
  <c r="B8" i="4"/>
  <c r="E8" i="4" s="1"/>
  <c r="B6" i="4"/>
  <c r="E6" i="4" s="1"/>
  <c r="B4" i="4"/>
  <c r="L31" i="1"/>
  <c r="T32" i="1"/>
  <c r="S32" i="1"/>
  <c r="R32" i="1"/>
  <c r="T30" i="1"/>
  <c r="S30" i="1"/>
  <c r="R30" i="1"/>
  <c r="T28" i="1"/>
  <c r="S28" i="1"/>
  <c r="R28" i="1"/>
  <c r="A28" i="1"/>
  <c r="L27" i="1"/>
  <c r="G17" i="1"/>
  <c r="C8" i="4" s="1"/>
  <c r="A16" i="1"/>
  <c r="T15" i="1"/>
  <c r="C41" i="2" s="1"/>
  <c r="C46" i="2" s="1"/>
  <c r="S15" i="1"/>
  <c r="R15" i="1"/>
  <c r="F41" i="2" s="1"/>
  <c r="L15" i="1"/>
  <c r="F14" i="4" s="1"/>
  <c r="G11" i="1"/>
  <c r="L9" i="1"/>
  <c r="G9" i="1"/>
  <c r="BQ30" i="2"/>
  <c r="BZ30" i="2" s="1"/>
  <c r="BK24" i="2"/>
  <c r="BT24" i="2" s="1"/>
  <c r="BH24" i="2"/>
  <c r="AX24" i="2"/>
  <c r="AK24" i="2"/>
  <c r="AB24" i="2"/>
  <c r="O7" i="2"/>
  <c r="N7" i="2"/>
  <c r="U20" i="2" s="1"/>
  <c r="BH23" i="2"/>
  <c r="BH22" i="2"/>
  <c r="U22" i="2"/>
  <c r="BH21" i="2"/>
  <c r="AF21" i="2"/>
  <c r="AF22" i="2" s="1"/>
  <c r="AO22" i="2" s="1"/>
  <c r="V21" i="2"/>
  <c r="BB21" i="2" s="1"/>
  <c r="BO20" i="2"/>
  <c r="BX20" i="2" s="1"/>
  <c r="BN20" i="2"/>
  <c r="BW20" i="2" s="1"/>
  <c r="BK20" i="2"/>
  <c r="BT20" i="2" s="1"/>
  <c r="BB20" i="2"/>
  <c r="BQ20" i="2" s="1"/>
  <c r="BZ20" i="2" s="1"/>
  <c r="BA20" i="2"/>
  <c r="AX20" i="2"/>
  <c r="AQ20" i="2"/>
  <c r="AO20" i="2"/>
  <c r="BD20" i="2" s="1"/>
  <c r="AN20" i="2"/>
  <c r="AK20" i="2"/>
  <c r="AH20" i="2"/>
  <c r="AF20" i="2"/>
  <c r="AE20" i="2"/>
  <c r="AB20" i="2"/>
  <c r="Z20" i="2"/>
  <c r="V20" i="2"/>
  <c r="BH19" i="2"/>
  <c r="BH20" i="2" s="1"/>
  <c r="BH25" i="2" l="1"/>
  <c r="G13" i="1"/>
  <c r="C6" i="4" s="1"/>
  <c r="L37" i="1"/>
  <c r="BO21" i="2"/>
  <c r="BX21" i="2" s="1"/>
  <c r="AB22" i="2"/>
  <c r="R23" i="2"/>
  <c r="U21" i="2"/>
  <c r="BN21" i="2" s="1"/>
  <c r="BW21" i="2" s="1"/>
  <c r="BB22" i="2"/>
  <c r="BO22" i="2" s="1"/>
  <c r="BX22" i="2" s="1"/>
  <c r="L25" i="1"/>
  <c r="AO21" i="2"/>
  <c r="L17" i="1"/>
  <c r="C24" i="1"/>
  <c r="L29" i="1"/>
  <c r="G15" i="1" l="1"/>
  <c r="C12" i="1" s="1"/>
  <c r="C14" i="1" s="1"/>
  <c r="C16" i="1" s="1"/>
  <c r="AT20" i="2" s="1"/>
  <c r="AT21" i="2" s="1"/>
  <c r="AN21" i="2"/>
  <c r="AE21" i="2"/>
  <c r="AE22" i="2" s="1"/>
  <c r="BA21" i="2"/>
  <c r="AK22" i="2"/>
  <c r="BK22" i="2" s="1"/>
  <c r="BT22" i="2" s="1"/>
  <c r="AX22" i="2"/>
  <c r="L35" i="1"/>
  <c r="L21" i="1" s="1"/>
  <c r="F12" i="4" s="1"/>
  <c r="C26" i="1"/>
  <c r="AU18" i="2"/>
  <c r="AT18" i="2"/>
  <c r="AT19" i="2" s="1"/>
  <c r="C18" i="1" l="1"/>
  <c r="G21" i="1" s="1"/>
  <c r="C10" i="4" s="1"/>
  <c r="G19" i="1"/>
  <c r="L23" i="1"/>
  <c r="AK26" i="2"/>
  <c r="BH26" i="2"/>
  <c r="AN22" i="2"/>
  <c r="C28" i="1"/>
  <c r="AU19" i="2"/>
  <c r="BQ28" i="2"/>
  <c r="BZ28" i="2" s="1"/>
  <c r="BD28" i="2"/>
  <c r="G23" i="1" l="1"/>
  <c r="G29" i="1" s="1"/>
  <c r="C4" i="4" s="1"/>
  <c r="BH27" i="2"/>
  <c r="AX26" i="2"/>
  <c r="BK26" i="2"/>
  <c r="BT26" i="2" s="1"/>
  <c r="AN23" i="2"/>
  <c r="C30" i="1"/>
  <c r="AU20" i="2"/>
  <c r="BA22" i="2"/>
  <c r="BN22" i="2" s="1"/>
  <c r="BW22" i="2" s="1"/>
  <c r="BN25" i="2" l="1"/>
  <c r="BW25" i="2" s="1"/>
  <c r="BW26" i="2" s="1"/>
  <c r="BA23" i="2"/>
  <c r="AU21" i="2"/>
  <c r="L11" i="1"/>
  <c r="BA24" i="2" l="1"/>
  <c r="BN23" i="2"/>
  <c r="F10" i="4"/>
  <c r="AQ26" i="2"/>
  <c r="BD26" i="2" s="1"/>
  <c r="L13" i="1"/>
  <c r="L19" i="1" s="1"/>
  <c r="L41" i="1" s="1"/>
  <c r="F4" i="4" s="1"/>
  <c r="BN24" i="2" l="1"/>
  <c r="BW24" i="2" s="1"/>
  <c r="BW23" i="2"/>
  <c r="BQ26" i="2"/>
  <c r="BZ26" i="2" s="1"/>
  <c r="AO23" i="2"/>
  <c r="BB23" i="2" s="1"/>
  <c r="BO23" i="2" l="1"/>
  <c r="BB24" i="2"/>
  <c r="BO24" i="2" l="1"/>
  <c r="BX23" i="2"/>
  <c r="BO25" i="2" l="1"/>
  <c r="BX24" i="2"/>
  <c r="BX25" i="2" s="1"/>
  <c r="BX26" i="2" s="1"/>
</calcChain>
</file>

<file path=xl/sharedStrings.xml><?xml version="1.0" encoding="utf-8"?>
<sst xmlns="http://schemas.openxmlformats.org/spreadsheetml/2006/main" count="292" uniqueCount="116">
  <si>
    <t>Preço de Aquisição com IVA</t>
  </si>
  <si>
    <t>Veículo Elétrico</t>
  </si>
  <si>
    <t>Combustão Interna</t>
  </si>
  <si>
    <t>Dedução do IVA</t>
  </si>
  <si>
    <t xml:space="preserve">IVA </t>
  </si>
  <si>
    <t>Novo Preço</t>
  </si>
  <si>
    <t>Incentivo do Estado</t>
  </si>
  <si>
    <t>Poupança IRC</t>
  </si>
  <si>
    <t>com Limite Máximo de 62500</t>
  </si>
  <si>
    <t>Valor quisição sem iva</t>
  </si>
  <si>
    <t>25% por ano, abate ao lucro</t>
  </si>
  <si>
    <t>Taxa IRC</t>
  </si>
  <si>
    <t>4 anos para 100%</t>
  </si>
  <si>
    <t>Tributação Autónoma</t>
  </si>
  <si>
    <t>Imposto Único de Circulação</t>
  </si>
  <si>
    <t>isento</t>
  </si>
  <si>
    <t>IUC para 4 anos</t>
  </si>
  <si>
    <t>Tibutação Autónoma</t>
  </si>
  <si>
    <t>Depreciação Anual 25%</t>
  </si>
  <si>
    <t>Negociado</t>
  </si>
  <si>
    <t>Taxa de Tributação Autónoma</t>
  </si>
  <si>
    <t>Total</t>
  </si>
  <si>
    <t>Para 4 anos</t>
  </si>
  <si>
    <t>https://www.uve.pt/page/veiculo-eletrico-escolha-certa-empresa/</t>
  </si>
  <si>
    <t>Coluna1</t>
  </si>
  <si>
    <t>Coluna2</t>
  </si>
  <si>
    <t>Coluna3</t>
  </si>
  <si>
    <t>Coluna4</t>
  </si>
  <si>
    <t>Quadro 1</t>
  </si>
  <si>
    <t>Quadro 2</t>
  </si>
  <si>
    <t>Ver Quadro 2</t>
  </si>
  <si>
    <t>Ver Tabela de IUC</t>
  </si>
  <si>
    <t>Aplicar IVA da Região em Causa</t>
  </si>
  <si>
    <t>Ver Quadro 1 e 3</t>
  </si>
  <si>
    <t>Quadro 3</t>
  </si>
  <si>
    <t>Seguro Anual</t>
  </si>
  <si>
    <t>IUC Anual</t>
  </si>
  <si>
    <t>Combustível Anual</t>
  </si>
  <si>
    <t>Conservação e Reparação Anual</t>
  </si>
  <si>
    <t>Preço Final da Viatura Elétrica</t>
  </si>
  <si>
    <t>Preço Final da Viatura a C.I.</t>
  </si>
  <si>
    <t>Apuramento de Preço de viaturas para empresas tendo em conta a natureza fiscal</t>
  </si>
  <si>
    <t>Limites Máximos</t>
  </si>
  <si>
    <t>Híbrido PLUG-IN</t>
  </si>
  <si>
    <t>Elétrico</t>
  </si>
  <si>
    <t>Depreciação em 4 anos</t>
  </si>
  <si>
    <t>25% com limite máximo de 25000 euros</t>
  </si>
  <si>
    <t>25% com limite máximo de 50000 euros</t>
  </si>
  <si>
    <t>25% com limite máximo de 62500 euros</t>
  </si>
  <si>
    <t>Poupança IRC Veículo Elétrico</t>
  </si>
  <si>
    <t>com Limite Máximo de 25000</t>
  </si>
  <si>
    <t>Poupança IRC Combustão Interna</t>
  </si>
  <si>
    <t>Quadro 4</t>
  </si>
  <si>
    <t>Ver Quadro 1 e 4</t>
  </si>
  <si>
    <t>Ver Quadro 2 e 4</t>
  </si>
  <si>
    <t>Valor de Aquisição</t>
  </si>
  <si>
    <t>&gt;</t>
  </si>
  <si>
    <t>entre</t>
  </si>
  <si>
    <t>&lt;</t>
  </si>
  <si>
    <t>25000 e 35000</t>
  </si>
  <si>
    <t>Taxas de Tributação Autónoma (Redação da Lei 2/2014 de 16 de janeiro)</t>
  </si>
  <si>
    <t>Taxas de IRC para os Açores</t>
  </si>
  <si>
    <t>até 15000 euros de lucro</t>
  </si>
  <si>
    <t>acima dos 15000 euros de lucro</t>
  </si>
  <si>
    <t>Sim</t>
  </si>
  <si>
    <t>Não</t>
  </si>
  <si>
    <t>A empresa apesenta lucros?</t>
  </si>
  <si>
    <t>se a empresa não apresenta lucros</t>
  </si>
  <si>
    <t>Taxas de Tributação Autónoma - Açores(Redação da Lei 2/2014 de 16 de janeiro)</t>
  </si>
  <si>
    <t>Caso a Empresa tenha Prejuízos acresce à taxa inicial 10%</t>
  </si>
  <si>
    <t>Preço Final da Viatura a Combustão Interna</t>
  </si>
  <si>
    <t>Valor aquisição sem iva</t>
  </si>
  <si>
    <t>VE</t>
  </si>
  <si>
    <t>VCI</t>
  </si>
  <si>
    <t>Custo aquisição</t>
  </si>
  <si>
    <t>-</t>
  </si>
  <si>
    <t>Custo de aquisição</t>
  </si>
  <si>
    <t xml:space="preserve">4 anos para 100% </t>
  </si>
  <si>
    <t>Valor aquisição sem IVA</t>
  </si>
  <si>
    <t>Taxa IRC anual</t>
  </si>
  <si>
    <t>Isento</t>
  </si>
  <si>
    <t>Depreciação Anual (25%)</t>
  </si>
  <si>
    <t>Seguro</t>
  </si>
  <si>
    <t>Combustível</t>
  </si>
  <si>
    <t>Conservação e Reparação</t>
  </si>
  <si>
    <t>TOTAL</t>
  </si>
  <si>
    <t>Tributação Autónoma anual</t>
  </si>
  <si>
    <t>Tributação Autónoma a 4 anos</t>
  </si>
  <si>
    <t>Custo de Aquisição</t>
  </si>
  <si>
    <t>IUC</t>
  </si>
  <si>
    <t>Apoio PO AÇORES 2020</t>
  </si>
  <si>
    <t>PO AÇORES 2020</t>
  </si>
  <si>
    <t>Aviso Nº ACORES-07-2019-21</t>
  </si>
  <si>
    <t>Custo com Eletricidade (25.000 km)</t>
  </si>
  <si>
    <t>Custo com Combustível (25.000 km)</t>
  </si>
  <si>
    <t>Consumo médio (kWh/100km)</t>
  </si>
  <si>
    <t>Preço do kWh em MT - vazio (€)</t>
  </si>
  <si>
    <t>Consumo médio (l/100km)</t>
  </si>
  <si>
    <t>Preço do Gasóleo  (€)</t>
  </si>
  <si>
    <t>Custo Eletricidade/Combustível</t>
  </si>
  <si>
    <t>Energia consumida Anual</t>
  </si>
  <si>
    <t>Km anuais</t>
  </si>
  <si>
    <t xml:space="preserve">Combustível (Gasóleo) </t>
  </si>
  <si>
    <r>
      <t xml:space="preserve">PO AÇORES 2020 </t>
    </r>
    <r>
      <rPr>
        <sz val="11"/>
        <color theme="1"/>
        <rFont val="Calibri"/>
        <family val="2"/>
        <scheme val="minor"/>
      </rPr>
      <t>(85% do diferencial entre VE e VCI)</t>
    </r>
  </si>
  <si>
    <t>Valor final ao fim de 4 anos</t>
  </si>
  <si>
    <t>Conservação e reparação anual</t>
  </si>
  <si>
    <t>Tributação Autónoma (a 4 anos)</t>
  </si>
  <si>
    <t>Simulador para aquisição de veículo elétrico (empresas)</t>
  </si>
  <si>
    <t>Preencha os campos a verde</t>
  </si>
  <si>
    <t>A empresa apresenta lucros superiores a 15 000 euros?</t>
  </si>
  <si>
    <t>Lucro entre 1 euro e 15 000 euros</t>
  </si>
  <si>
    <t>Lucro superior a 15 000 euros</t>
  </si>
  <si>
    <t>Veículo Exclusivamente Elétrico</t>
  </si>
  <si>
    <t>Veículo Combustão Interna</t>
  </si>
  <si>
    <t>*Clientes finais em MT - vazio normal</t>
  </si>
  <si>
    <t>Preço kWh (€)*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</si>
</sst>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00\ _€_-;\-* #,##0.0000\ _€_-;_-* &quot;-&quot;??\ _€_-;_-@_-"/>
    <numFmt numFmtId="165" formatCode="_-* #,##0.00000\ _€_-;\-* #,##0.00000\ _€_-;_-* &quot;-&quot;??\ _€_-;_-@_-"/>
    <numFmt numFmtId="166" formatCode="#,##0.00\ &quot;€&quot;"/>
    <numFmt numFmtId="167" formatCode="_-* #,##0\ &quot;€&quot;_-;\-* #,##0\ &quot;€&quot;_-;_-* &quot;-&quot;??\ &quot;€&quot;_-;_-@_-"/>
    <numFmt numFmtId="168" formatCode="#,##0\ &quot;€&quot;"/>
    <numFmt numFmtId="169" formatCode="_-* #,##0.00\ [$€-816]_-;\-* #,##0.00\ [$€-816]_-;_-* &quot;-&quot;??\ [$€-816]_-;_-@_-"/>
    <numFmt numFmtId="170" formatCode="#,##0_ ;\-#,##0\ "/>
    <numFmt numFmtId="171" formatCode="#,##0.000\ &quot;€&quot;"/>
    <numFmt numFmtId="172" formatCode="#,##0.00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8">
    <xf numFmtId="0" fontId="0" fillId="0" borderId="0" xfId="0"/>
    <xf numFmtId="44" fontId="0" fillId="0" borderId="0" xfId="2" applyFont="1"/>
    <xf numFmtId="9" fontId="0" fillId="0" borderId="0" xfId="0" applyNumberFormat="1"/>
    <xf numFmtId="43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9" fontId="5" fillId="0" borderId="0" xfId="0" applyNumberFormat="1" applyFont="1"/>
    <xf numFmtId="44" fontId="5" fillId="0" borderId="0" xfId="0" applyNumberFormat="1" applyFont="1"/>
    <xf numFmtId="0" fontId="5" fillId="0" borderId="2" xfId="0" applyFont="1" applyBorder="1"/>
    <xf numFmtId="44" fontId="5" fillId="0" borderId="2" xfId="0" applyNumberFormat="1" applyFont="1" applyBorder="1"/>
    <xf numFmtId="0" fontId="0" fillId="0" borderId="0" xfId="0" applyAlignment="1"/>
    <xf numFmtId="0" fontId="2" fillId="0" borderId="0" xfId="0" applyFont="1" applyAlignment="1">
      <alignment horizontal="center"/>
    </xf>
    <xf numFmtId="44" fontId="0" fillId="0" borderId="1" xfId="0" applyNumberFormat="1" applyFont="1" applyBorder="1"/>
    <xf numFmtId="44" fontId="0" fillId="0" borderId="4" xfId="0" applyNumberFormat="1" applyFont="1" applyBorder="1"/>
    <xf numFmtId="0" fontId="0" fillId="0" borderId="1" xfId="0" applyFont="1" applyBorder="1"/>
    <xf numFmtId="0" fontId="5" fillId="2" borderId="3" xfId="0" applyFont="1" applyFill="1" applyBorder="1" applyAlignment="1">
      <alignment horizontal="center"/>
    </xf>
    <xf numFmtId="0" fontId="5" fillId="2" borderId="0" xfId="0" applyFont="1" applyFill="1" applyBorder="1"/>
    <xf numFmtId="0" fontId="2" fillId="0" borderId="0" xfId="0" applyFont="1" applyFill="1" applyAlignment="1"/>
    <xf numFmtId="44" fontId="0" fillId="0" borderId="0" xfId="2" applyFont="1" applyFill="1"/>
    <xf numFmtId="0" fontId="3" fillId="7" borderId="0" xfId="0" applyFont="1" applyFill="1" applyAlignment="1">
      <alignment horizontal="center"/>
    </xf>
    <xf numFmtId="9" fontId="7" fillId="8" borderId="0" xfId="0" applyNumberFormat="1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9" borderId="0" xfId="0" applyFont="1" applyFill="1"/>
    <xf numFmtId="0" fontId="7" fillId="8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44" fontId="7" fillId="8" borderId="0" xfId="2" applyFont="1" applyFill="1" applyAlignment="1">
      <alignment horizontal="center"/>
    </xf>
    <xf numFmtId="44" fontId="3" fillId="7" borderId="0" xfId="2" applyFont="1" applyFill="1" applyAlignment="1">
      <alignment horizontal="center"/>
    </xf>
    <xf numFmtId="44" fontId="3" fillId="7" borderId="0" xfId="2" applyFont="1" applyFill="1" applyAlignment="1"/>
    <xf numFmtId="10" fontId="0" fillId="0" borderId="0" xfId="0" applyNumberFormat="1" applyFill="1" applyAlignment="1">
      <alignment horizontal="center"/>
    </xf>
    <xf numFmtId="0" fontId="4" fillId="0" borderId="0" xfId="3" applyAlignment="1">
      <alignment horizontal="center"/>
    </xf>
    <xf numFmtId="0" fontId="0" fillId="3" borderId="0" xfId="0" applyFill="1"/>
    <xf numFmtId="0" fontId="9" fillId="11" borderId="0" xfId="0" applyFont="1" applyFill="1"/>
    <xf numFmtId="0" fontId="9" fillId="0" borderId="0" xfId="0" applyFont="1"/>
    <xf numFmtId="0" fontId="9" fillId="6" borderId="0" xfId="0" applyFont="1" applyFill="1"/>
    <xf numFmtId="164" fontId="9" fillId="0" borderId="0" xfId="1" applyNumberFormat="1" applyFont="1"/>
    <xf numFmtId="10" fontId="0" fillId="0" borderId="0" xfId="0" applyNumberFormat="1"/>
    <xf numFmtId="10" fontId="5" fillId="0" borderId="0" xfId="0" applyNumberFormat="1" applyFont="1"/>
    <xf numFmtId="0" fontId="10" fillId="0" borderId="0" xfId="0" applyFont="1" applyAlignment="1">
      <alignment horizontal="center"/>
    </xf>
    <xf numFmtId="10" fontId="0" fillId="10" borderId="0" xfId="0" applyNumberFormat="1" applyFill="1"/>
    <xf numFmtId="10" fontId="0" fillId="3" borderId="0" xfId="0" applyNumberFormat="1" applyFill="1"/>
    <xf numFmtId="165" fontId="9" fillId="0" borderId="0" xfId="1" applyNumberFormat="1" applyFont="1"/>
    <xf numFmtId="44" fontId="0" fillId="10" borderId="0" xfId="2" applyFont="1" applyFill="1" applyAlignment="1">
      <alignment horizontal="center"/>
    </xf>
    <xf numFmtId="0" fontId="2" fillId="6" borderId="0" xfId="0" applyFont="1" applyFill="1" applyAlignment="1">
      <alignment horizontal="center"/>
    </xf>
    <xf numFmtId="44" fontId="0" fillId="6" borderId="0" xfId="2" applyFont="1" applyFill="1" applyAlignment="1">
      <alignment horizontal="center"/>
    </xf>
    <xf numFmtId="44" fontId="0" fillId="5" borderId="0" xfId="2" applyFont="1" applyFill="1" applyAlignment="1">
      <alignment horizontal="center"/>
    </xf>
    <xf numFmtId="0" fontId="9" fillId="0" borderId="5" xfId="0" applyFont="1" applyBorder="1"/>
    <xf numFmtId="0" fontId="0" fillId="0" borderId="0" xfId="0" applyFill="1"/>
    <xf numFmtId="43" fontId="0" fillId="0" borderId="0" xfId="1" applyFont="1" applyFill="1"/>
    <xf numFmtId="44" fontId="0" fillId="0" borderId="0" xfId="0" applyNumberFormat="1" applyFill="1"/>
    <xf numFmtId="44" fontId="9" fillId="0" borderId="5" xfId="2" applyFont="1" applyBorder="1"/>
    <xf numFmtId="0" fontId="0" fillId="0" borderId="5" xfId="0" applyBorder="1"/>
    <xf numFmtId="44" fontId="0" fillId="0" borderId="5" xfId="2" applyFont="1" applyBorder="1"/>
    <xf numFmtId="0" fontId="0" fillId="0" borderId="5" xfId="0" applyBorder="1" applyAlignment="1">
      <alignment horizontal="right"/>
    </xf>
    <xf numFmtId="0" fontId="0" fillId="4" borderId="5" xfId="0" applyFill="1" applyBorder="1"/>
    <xf numFmtId="44" fontId="0" fillId="3" borderId="5" xfId="2" applyFont="1" applyFill="1" applyBorder="1"/>
    <xf numFmtId="0" fontId="0" fillId="5" borderId="5" xfId="0" applyFill="1" applyBorder="1"/>
    <xf numFmtId="44" fontId="0" fillId="10" borderId="5" xfId="0" applyNumberFormat="1" applyFill="1" applyBorder="1"/>
    <xf numFmtId="44" fontId="9" fillId="0" borderId="0" xfId="0" applyNumberFormat="1" applyFont="1"/>
    <xf numFmtId="166" fontId="9" fillId="0" borderId="0" xfId="0" applyNumberFormat="1" applyFont="1"/>
    <xf numFmtId="167" fontId="9" fillId="0" borderId="0" xfId="0" applyNumberFormat="1" applyFont="1"/>
    <xf numFmtId="168" fontId="9" fillId="0" borderId="0" xfId="0" applyNumberFormat="1" applyFont="1"/>
    <xf numFmtId="167" fontId="9" fillId="0" borderId="0" xfId="0" applyNumberFormat="1" applyFont="1" applyAlignment="1">
      <alignment horizontal="right" vertical="center"/>
    </xf>
    <xf numFmtId="44" fontId="9" fillId="0" borderId="0" xfId="0" applyNumberFormat="1" applyFont="1" applyAlignment="1">
      <alignment horizontal="right" vertical="center"/>
    </xf>
    <xf numFmtId="0" fontId="4" fillId="0" borderId="0" xfId="3" applyAlignment="1">
      <alignment horizontal="center"/>
    </xf>
    <xf numFmtId="0" fontId="9" fillId="16" borderId="0" xfId="0" applyFont="1" applyFill="1"/>
    <xf numFmtId="0" fontId="9" fillId="14" borderId="0" xfId="0" applyFont="1" applyFill="1"/>
    <xf numFmtId="0" fontId="9" fillId="8" borderId="0" xfId="0" applyFont="1" applyFill="1"/>
    <xf numFmtId="0" fontId="9" fillId="0" borderId="0" xfId="0" quotePrefix="1" applyFont="1" applyAlignment="1">
      <alignment horizontal="center" vertical="center"/>
    </xf>
    <xf numFmtId="44" fontId="9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/>
    </xf>
    <xf numFmtId="0" fontId="11" fillId="19" borderId="0" xfId="0" applyFont="1" applyFill="1" applyAlignment="1">
      <alignment horizontal="center" vertical="center"/>
    </xf>
    <xf numFmtId="0" fontId="9" fillId="20" borderId="0" xfId="0" applyFont="1" applyFill="1"/>
    <xf numFmtId="167" fontId="11" fillId="19" borderId="0" xfId="0" applyNumberFormat="1" applyFont="1" applyFill="1" applyAlignment="1">
      <alignment horizontal="center" vertical="center"/>
    </xf>
    <xf numFmtId="0" fontId="9" fillId="20" borderId="0" xfId="0" applyFont="1" applyFill="1" applyAlignment="1">
      <alignment horizontal="center" vertical="center"/>
    </xf>
    <xf numFmtId="166" fontId="9" fillId="0" borderId="0" xfId="0" applyNumberFormat="1" applyFont="1" applyAlignment="1">
      <alignment horizontal="right"/>
    </xf>
    <xf numFmtId="0" fontId="9" fillId="17" borderId="0" xfId="0" applyFont="1" applyFill="1" applyAlignment="1">
      <alignment horizontal="center" vertical="center"/>
    </xf>
    <xf numFmtId="0" fontId="9" fillId="15" borderId="0" xfId="0" applyFont="1" applyFill="1" applyAlignment="1">
      <alignment horizontal="center"/>
    </xf>
    <xf numFmtId="167" fontId="9" fillId="20" borderId="0" xfId="0" applyNumberFormat="1" applyFont="1" applyFill="1" applyAlignment="1">
      <alignment horizontal="center" vertical="center"/>
    </xf>
    <xf numFmtId="167" fontId="9" fillId="17" borderId="0" xfId="0" applyNumberFormat="1" applyFont="1" applyFill="1" applyAlignment="1">
      <alignment horizontal="center" vertical="center"/>
    </xf>
    <xf numFmtId="0" fontId="9" fillId="15" borderId="0" xfId="0" applyFont="1" applyFill="1" applyAlignment="1">
      <alignment horizontal="center" vertical="center"/>
    </xf>
    <xf numFmtId="16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18" borderId="0" xfId="0" applyFont="1" applyFill="1" applyAlignment="1">
      <alignment horizontal="center" vertical="center"/>
    </xf>
    <xf numFmtId="168" fontId="9" fillId="0" borderId="0" xfId="0" applyNumberFormat="1" applyFont="1" applyAlignment="1">
      <alignment horizontal="right" vertical="center"/>
    </xf>
    <xf numFmtId="44" fontId="9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 vertical="center"/>
    </xf>
    <xf numFmtId="4" fontId="9" fillId="0" borderId="0" xfId="0" applyNumberFormat="1" applyFont="1"/>
    <xf numFmtId="0" fontId="9" fillId="0" borderId="0" xfId="0" applyFont="1" applyBorder="1"/>
    <xf numFmtId="170" fontId="9" fillId="0" borderId="0" xfId="2" applyNumberFormat="1" applyFont="1" applyBorder="1"/>
    <xf numFmtId="44" fontId="9" fillId="22" borderId="5" xfId="2" applyFont="1" applyFill="1" applyBorder="1"/>
    <xf numFmtId="44" fontId="9" fillId="22" borderId="5" xfId="2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44" fontId="0" fillId="0" borderId="0" xfId="2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4" fontId="9" fillId="5" borderId="5" xfId="0" applyNumberFormat="1" applyFont="1" applyFill="1" applyBorder="1"/>
    <xf numFmtId="0" fontId="9" fillId="0" borderId="0" xfId="0" applyFont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21" borderId="0" xfId="0" applyFont="1" applyFill="1" applyProtection="1">
      <protection locked="0"/>
    </xf>
    <xf numFmtId="44" fontId="9" fillId="12" borderId="5" xfId="2" applyFont="1" applyFill="1" applyBorder="1" applyProtection="1">
      <protection locked="0"/>
    </xf>
    <xf numFmtId="0" fontId="9" fillId="12" borderId="5" xfId="0" applyFont="1" applyFill="1" applyBorder="1" applyProtection="1">
      <protection locked="0"/>
    </xf>
    <xf numFmtId="170" fontId="9" fillId="12" borderId="0" xfId="2" applyNumberFormat="1" applyFont="1" applyFill="1" applyBorder="1" applyProtection="1">
      <protection locked="0"/>
    </xf>
    <xf numFmtId="171" fontId="9" fillId="12" borderId="0" xfId="0" applyNumberFormat="1" applyFont="1" applyFill="1" applyProtection="1">
      <protection locked="0"/>
    </xf>
    <xf numFmtId="0" fontId="9" fillId="12" borderId="0" xfId="0" applyFont="1" applyFill="1" applyProtection="1">
      <protection locked="0"/>
    </xf>
    <xf numFmtId="0" fontId="9" fillId="12" borderId="8" xfId="0" applyFont="1" applyFill="1" applyBorder="1" applyProtection="1">
      <protection locked="0"/>
    </xf>
    <xf numFmtId="0" fontId="12" fillId="0" borderId="10" xfId="3" applyFont="1" applyBorder="1" applyAlignment="1">
      <alignment horizontal="center"/>
    </xf>
    <xf numFmtId="172" fontId="9" fillId="12" borderId="0" xfId="0" applyNumberFormat="1" applyFont="1" applyFill="1" applyProtection="1">
      <protection locked="0"/>
    </xf>
    <xf numFmtId="0" fontId="9" fillId="0" borderId="0" xfId="0" applyFont="1" applyAlignment="1">
      <alignment horizontal="left" vertical="center" wrapText="1"/>
    </xf>
    <xf numFmtId="0" fontId="9" fillId="23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6" borderId="5" xfId="0" applyFont="1" applyFill="1" applyBorder="1" applyAlignment="1">
      <alignment horizontal="center"/>
    </xf>
    <xf numFmtId="0" fontId="11" fillId="13" borderId="6" xfId="0" applyFont="1" applyFill="1" applyBorder="1" applyAlignment="1">
      <alignment horizontal="center"/>
    </xf>
    <xf numFmtId="0" fontId="11" fillId="13" borderId="7" xfId="0" applyFont="1" applyFill="1" applyBorder="1" applyAlignment="1">
      <alignment horizontal="center"/>
    </xf>
    <xf numFmtId="0" fontId="0" fillId="13" borderId="0" xfId="0" applyFont="1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3" fillId="7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0" xfId="3" applyAlignment="1">
      <alignment horizontal="center"/>
    </xf>
    <xf numFmtId="0" fontId="0" fillId="0" borderId="0" xfId="0" applyAlignment="1">
      <alignment horizontal="center"/>
    </xf>
  </cellXfs>
  <cellStyles count="4">
    <cellStyle name="Hiperligação" xfId="3" builtinId="8"/>
    <cellStyle name="Moeda" xfId="2" builtinId="4"/>
    <cellStyle name="Normal" xfId="0" builtinId="0"/>
    <cellStyle name="Vírgula" xfId="1" builtinId="3"/>
  </cellStyles>
  <dxfs count="9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34" formatCode="_-* #,##0.00\ &quot;€&quot;_-;\-* #,##0.00\ &quot;€&quot;_-;_-* &quot;-&quot;??\ &quot;€&quot;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68331712677984"/>
          <c:y val="3.1805045446512067E-2"/>
          <c:w val="0.72872357774363872"/>
          <c:h val="0.84461750586908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Pressupostos!$M$7</c:f>
              <c:strCache>
                <c:ptCount val="1"/>
                <c:pt idx="0">
                  <c:v>Custo aquisição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Pressupostos!$N$6:$O$6</c:f>
            </c:multiLvlStrRef>
          </c:cat>
          <c:val>
            <c:numRef>
              <c:f>Pressupostos!$N$7:$O$7</c:f>
            </c:numRef>
          </c:val>
          <c:extLst>
            <c:ext xmlns:c16="http://schemas.microsoft.com/office/drawing/2014/chart" uri="{C3380CC4-5D6E-409C-BE32-E72D297353CC}">
              <c16:uniqueId val="{00000000-973A-4FEF-9FC9-975547C969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47071504"/>
        <c:axId val="347073144"/>
      </c:barChart>
      <c:catAx>
        <c:axId val="34707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7073144"/>
        <c:crosses val="autoZero"/>
        <c:auto val="1"/>
        <c:lblAlgn val="ctr"/>
        <c:lblOffset val="100"/>
        <c:noMultiLvlLbl val="0"/>
      </c:catAx>
      <c:valAx>
        <c:axId val="347073144"/>
        <c:scaling>
          <c:orientation val="minMax"/>
        </c:scaling>
        <c:delete val="0"/>
        <c:axPos val="l"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707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Pressupostos!$T$20</c:f>
              <c:strCache>
                <c:ptCount val="1"/>
                <c:pt idx="0">
                  <c:v>Custo aquisição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Pressupostos!$U$19:$V$19</c:f>
            </c:multiLvlStrRef>
          </c:cat>
          <c:val>
            <c:numRef>
              <c:f>Pressupostos!$U$20:$V$20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5EE-46FB-9711-F0BE270F785D}"/>
            </c:ext>
          </c:extLst>
        </c:ser>
        <c:ser>
          <c:idx val="1"/>
          <c:order val="1"/>
          <c:tx>
            <c:strRef>
              <c:f>Pressupostos!$T$21</c:f>
              <c:strCache>
                <c:ptCount val="1"/>
                <c:pt idx="0">
                  <c:v>Dedução do 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Pressupostos!$U$19:$V$19</c:f>
            </c:multiLvlStrRef>
          </c:cat>
          <c:val>
            <c:numRef>
              <c:f>Pressupostos!$U$21:$V$21</c:f>
            </c:numRef>
          </c:val>
          <c:extLst>
            <c:ext xmlns:c16="http://schemas.microsoft.com/office/drawing/2014/chart" uri="{C3380CC4-5D6E-409C-BE32-E72D297353CC}">
              <c16:uniqueId val="{00000001-25EE-46FB-9711-F0BE270F78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30836960"/>
        <c:axId val="430834992"/>
        <c:extLst/>
      </c:barChart>
      <c:catAx>
        <c:axId val="43083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30834992"/>
        <c:crosses val="autoZero"/>
        <c:auto val="1"/>
        <c:lblAlgn val="ctr"/>
        <c:lblOffset val="100"/>
        <c:noMultiLvlLbl val="0"/>
      </c:catAx>
      <c:valAx>
        <c:axId val="430834992"/>
        <c:scaling>
          <c:orientation val="minMax"/>
        </c:scaling>
        <c:delete val="0"/>
        <c:axPos val="l"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3083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Pressupostos!$AD$20</c:f>
              <c:strCache>
                <c:ptCount val="1"/>
                <c:pt idx="0">
                  <c:v>Custo aquisição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Pressupostos!$AE$19:$AF$19</c:f>
            </c:multiLvlStrRef>
          </c:cat>
          <c:val>
            <c:numRef>
              <c:f>Pressupostos!$AE$20:$AF$20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E41-4270-A77E-CD4B6BE40007}"/>
            </c:ext>
          </c:extLst>
        </c:ser>
        <c:ser>
          <c:idx val="1"/>
          <c:order val="1"/>
          <c:tx>
            <c:strRef>
              <c:f>Pressupostos!$AD$21</c:f>
              <c:strCache>
                <c:ptCount val="1"/>
                <c:pt idx="0">
                  <c:v>Dedução do IVA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Pressupostos!$AE$19:$AF$19</c:f>
            </c:multiLvlStrRef>
          </c:cat>
          <c:val>
            <c:numRef>
              <c:f>Pressupostos!$AE$21:$AF$21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E41-4270-A77E-CD4B6BE40007}"/>
            </c:ext>
          </c:extLst>
        </c:ser>
        <c:ser>
          <c:idx val="2"/>
          <c:order val="2"/>
          <c:tx>
            <c:strRef>
              <c:f>Pressupostos!$AD$22</c:f>
              <c:strCache>
                <c:ptCount val="1"/>
                <c:pt idx="0">
                  <c:v>PO AÇORES 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Pressupostos!$AE$19:$AF$19</c:f>
            </c:multiLvlStrRef>
          </c:cat>
          <c:val>
            <c:numRef>
              <c:f>Pressupostos!$AE$22:$AF$22</c:f>
            </c:numRef>
          </c:val>
          <c:extLst>
            <c:ext xmlns:c16="http://schemas.microsoft.com/office/drawing/2014/chart" uri="{C3380CC4-5D6E-409C-BE32-E72D297353CC}">
              <c16:uniqueId val="{00000002-7E41-4270-A77E-CD4B6BE400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50730264"/>
        <c:axId val="350736824"/>
        <c:extLst/>
      </c:barChart>
      <c:catAx>
        <c:axId val="35073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50736824"/>
        <c:crosses val="autoZero"/>
        <c:auto val="1"/>
        <c:lblAlgn val="ctr"/>
        <c:lblOffset val="100"/>
        <c:noMultiLvlLbl val="0"/>
      </c:catAx>
      <c:valAx>
        <c:axId val="350736824"/>
        <c:scaling>
          <c:orientation val="minMax"/>
        </c:scaling>
        <c:delete val="0"/>
        <c:axPos val="l"/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50730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Pressupostos!$AM$20</c:f>
              <c:strCache>
                <c:ptCount val="1"/>
                <c:pt idx="0">
                  <c:v>Custo aquisição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Pressupostos!$AN$19:$AO$19</c:f>
            </c:multiLvlStrRef>
          </c:cat>
          <c:val>
            <c:numRef>
              <c:f>Pressupostos!$AN$20:$AO$20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31E-494D-8F3C-51B4635AF4BE}"/>
            </c:ext>
          </c:extLst>
        </c:ser>
        <c:ser>
          <c:idx val="1"/>
          <c:order val="1"/>
          <c:tx>
            <c:strRef>
              <c:f>Pressupostos!$AM$21</c:f>
              <c:strCache>
                <c:ptCount val="1"/>
                <c:pt idx="0">
                  <c:v>Dedução do IVA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Pressupostos!$AN$19:$AO$19</c:f>
            </c:multiLvlStrRef>
          </c:cat>
          <c:val>
            <c:numRef>
              <c:f>Pressupostos!$AN$21:$AO$21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31E-494D-8F3C-51B4635AF4BE}"/>
            </c:ext>
          </c:extLst>
        </c:ser>
        <c:ser>
          <c:idx val="2"/>
          <c:order val="2"/>
          <c:tx>
            <c:strRef>
              <c:f>Pressupostos!$AM$22</c:f>
              <c:strCache>
                <c:ptCount val="1"/>
                <c:pt idx="0">
                  <c:v>PO AÇORES 2020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Pressupostos!$AN$19:$AO$19</c:f>
            </c:multiLvlStrRef>
          </c:cat>
          <c:val>
            <c:numRef>
              <c:f>Pressupostos!$AN$22:$AO$22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731E-494D-8F3C-51B4635AF4BE}"/>
            </c:ext>
          </c:extLst>
        </c:ser>
        <c:ser>
          <c:idx val="3"/>
          <c:order val="3"/>
          <c:tx>
            <c:strRef>
              <c:f>Pressupostos!$AM$23</c:f>
              <c:strCache>
                <c:ptCount val="1"/>
                <c:pt idx="0">
                  <c:v>Poupança IRC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Pressupostos!$AN$19:$AO$19</c:f>
            </c:multiLvlStrRef>
          </c:cat>
          <c:val>
            <c:numRef>
              <c:f>Pressupostos!$AN$23:$AO$23</c:f>
            </c:numRef>
          </c:val>
          <c:extLst>
            <c:ext xmlns:c16="http://schemas.microsoft.com/office/drawing/2014/chart" uri="{C3380CC4-5D6E-409C-BE32-E72D297353CC}">
              <c16:uniqueId val="{00000003-731E-494D-8F3C-51B4635AF4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18057440"/>
        <c:axId val="418056128"/>
        <c:extLst/>
      </c:barChart>
      <c:catAx>
        <c:axId val="41805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18056128"/>
        <c:crosses val="autoZero"/>
        <c:auto val="1"/>
        <c:lblAlgn val="ctr"/>
        <c:lblOffset val="100"/>
        <c:noMultiLvlLbl val="0"/>
      </c:catAx>
      <c:valAx>
        <c:axId val="418056128"/>
        <c:scaling>
          <c:orientation val="minMax"/>
        </c:scaling>
        <c:delete val="0"/>
        <c:axPos val="l"/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1805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Pressupostos!$AZ$20</c:f>
              <c:strCache>
                <c:ptCount val="1"/>
                <c:pt idx="0">
                  <c:v>Custo aquisição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Pressupostos!$BA$19:$BB$19</c:f>
            </c:multiLvlStrRef>
          </c:cat>
          <c:val>
            <c:numRef>
              <c:f>Pressupostos!$BA$20:$BB$20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9D6-4DF1-835C-571BA367001D}"/>
            </c:ext>
          </c:extLst>
        </c:ser>
        <c:ser>
          <c:idx val="1"/>
          <c:order val="1"/>
          <c:tx>
            <c:strRef>
              <c:f>Pressupostos!$AZ$21</c:f>
              <c:strCache>
                <c:ptCount val="1"/>
                <c:pt idx="0">
                  <c:v>Dedução do IVA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Pressupostos!$BA$19:$BB$19</c:f>
            </c:multiLvlStrRef>
          </c:cat>
          <c:val>
            <c:numRef>
              <c:f>Pressupostos!$BA$21:$BB$21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D9D6-4DF1-835C-571BA367001D}"/>
            </c:ext>
          </c:extLst>
        </c:ser>
        <c:ser>
          <c:idx val="2"/>
          <c:order val="2"/>
          <c:tx>
            <c:strRef>
              <c:f>Pressupostos!$AZ$22</c:f>
              <c:strCache>
                <c:ptCount val="1"/>
                <c:pt idx="0">
                  <c:v>PO AÇORES 2020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Pressupostos!$BA$19:$BB$19</c:f>
            </c:multiLvlStrRef>
          </c:cat>
          <c:val>
            <c:numRef>
              <c:f>Pressupostos!$BA$22:$BB$22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9D6-4DF1-835C-571BA367001D}"/>
            </c:ext>
          </c:extLst>
        </c:ser>
        <c:ser>
          <c:idx val="3"/>
          <c:order val="3"/>
          <c:tx>
            <c:strRef>
              <c:f>Pressupostos!$AZ$23</c:f>
              <c:strCache>
                <c:ptCount val="1"/>
                <c:pt idx="0">
                  <c:v>Poupança IRC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Pressupostos!$BA$19:$BB$19</c:f>
            </c:multiLvlStrRef>
          </c:cat>
          <c:val>
            <c:numRef>
              <c:f>Pressupostos!$BA$23:$BB$23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D9D6-4DF1-835C-571BA367001D}"/>
            </c:ext>
          </c:extLst>
        </c:ser>
        <c:ser>
          <c:idx val="4"/>
          <c:order val="4"/>
          <c:tx>
            <c:strRef>
              <c:f>Pressupostos!$AZ$24</c:f>
              <c:strCache>
                <c:ptCount val="1"/>
                <c:pt idx="0">
                  <c:v>Tributação Autónoma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Pressupostos!$BA$19:$BB$19</c:f>
            </c:multiLvlStrRef>
          </c:cat>
          <c:val>
            <c:numRef>
              <c:f>Pressupostos!$BA$24:$BB$24</c:f>
            </c:numRef>
          </c:val>
          <c:extLst>
            <c:ext xmlns:c16="http://schemas.microsoft.com/office/drawing/2014/chart" uri="{C3380CC4-5D6E-409C-BE32-E72D297353CC}">
              <c16:uniqueId val="{00000004-D9D6-4DF1-835C-571BA36700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23280632"/>
        <c:axId val="423283256"/>
        <c:extLst/>
      </c:barChart>
      <c:catAx>
        <c:axId val="42328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23283256"/>
        <c:crosses val="autoZero"/>
        <c:auto val="1"/>
        <c:lblAlgn val="ctr"/>
        <c:lblOffset val="100"/>
        <c:noMultiLvlLbl val="0"/>
      </c:catAx>
      <c:valAx>
        <c:axId val="423283256"/>
        <c:scaling>
          <c:orientation val="minMax"/>
        </c:scaling>
        <c:delete val="0"/>
        <c:axPos val="l"/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2328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Pressupostos!$BM$20</c:f>
              <c:strCache>
                <c:ptCount val="1"/>
                <c:pt idx="0">
                  <c:v>Custo aquisição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Pressupostos!$BN$19:$BO$19</c:f>
            </c:multiLvlStrRef>
          </c:cat>
          <c:val>
            <c:numRef>
              <c:f>Pressupostos!$BN$20:$BO$20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A35-457C-91AC-0EE6FA5032B7}"/>
            </c:ext>
          </c:extLst>
        </c:ser>
        <c:ser>
          <c:idx val="1"/>
          <c:order val="1"/>
          <c:tx>
            <c:strRef>
              <c:f>Pressupostos!$BM$21</c:f>
              <c:strCache>
                <c:ptCount val="1"/>
                <c:pt idx="0">
                  <c:v>Dedução do IVA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Pressupostos!$BN$19:$BO$19</c:f>
            </c:multiLvlStrRef>
          </c:cat>
          <c:val>
            <c:numRef>
              <c:f>Pressupostos!$BN$21:$BO$21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A35-457C-91AC-0EE6FA5032B7}"/>
            </c:ext>
          </c:extLst>
        </c:ser>
        <c:ser>
          <c:idx val="2"/>
          <c:order val="2"/>
          <c:tx>
            <c:strRef>
              <c:f>Pressupostos!$BM$22</c:f>
              <c:strCache>
                <c:ptCount val="1"/>
                <c:pt idx="0">
                  <c:v>PO AÇORES 2020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Pressupostos!$BN$19:$BO$19</c:f>
            </c:multiLvlStrRef>
          </c:cat>
          <c:val>
            <c:numRef>
              <c:f>Pressupostos!$BN$22:$BO$22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A35-457C-91AC-0EE6FA5032B7}"/>
            </c:ext>
          </c:extLst>
        </c:ser>
        <c:ser>
          <c:idx val="3"/>
          <c:order val="3"/>
          <c:tx>
            <c:strRef>
              <c:f>Pressupostos!$BM$23</c:f>
              <c:strCache>
                <c:ptCount val="1"/>
                <c:pt idx="0">
                  <c:v>Poupança IRC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Pressupostos!$BN$19:$BO$19</c:f>
            </c:multiLvlStrRef>
          </c:cat>
          <c:val>
            <c:numRef>
              <c:f>Pressupostos!$BN$23:$BO$23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CA35-457C-91AC-0EE6FA5032B7}"/>
            </c:ext>
          </c:extLst>
        </c:ser>
        <c:ser>
          <c:idx val="4"/>
          <c:order val="4"/>
          <c:tx>
            <c:strRef>
              <c:f>Pressupostos!$BM$24</c:f>
              <c:strCache>
                <c:ptCount val="1"/>
                <c:pt idx="0">
                  <c:v>Tributação Autónoma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Pressupostos!$BN$19:$BO$19</c:f>
            </c:multiLvlStrRef>
          </c:cat>
          <c:val>
            <c:numRef>
              <c:f>Pressupostos!$BN$24:$BO$24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CA35-457C-91AC-0EE6FA5032B7}"/>
            </c:ext>
          </c:extLst>
        </c:ser>
        <c:ser>
          <c:idx val="5"/>
          <c:order val="5"/>
          <c:tx>
            <c:strRef>
              <c:f>Pressupostos!$BM$25</c:f>
              <c:strCache>
                <c:ptCount val="1"/>
                <c:pt idx="0">
                  <c:v>IUC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Pressupostos!$BN$19:$BO$19</c:f>
            </c:multiLvlStrRef>
          </c:cat>
          <c:val>
            <c:numRef>
              <c:f>Pressupostos!$BN$25:$BO$25</c:f>
            </c:numRef>
          </c:val>
          <c:extLst>
            <c:ext xmlns:c16="http://schemas.microsoft.com/office/drawing/2014/chart" uri="{C3380CC4-5D6E-409C-BE32-E72D297353CC}">
              <c16:uniqueId val="{00000005-CA35-457C-91AC-0EE6FA5032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50730920"/>
        <c:axId val="350179816"/>
        <c:extLst/>
      </c:barChart>
      <c:catAx>
        <c:axId val="350730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50179816"/>
        <c:crosses val="autoZero"/>
        <c:auto val="1"/>
        <c:lblAlgn val="ctr"/>
        <c:lblOffset val="100"/>
        <c:noMultiLvlLbl val="0"/>
      </c:catAx>
      <c:valAx>
        <c:axId val="350179816"/>
        <c:scaling>
          <c:orientation val="minMax"/>
        </c:scaling>
        <c:delete val="0"/>
        <c:axPos val="l"/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50730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Pressupostos!$BV$20</c:f>
              <c:strCache>
                <c:ptCount val="1"/>
                <c:pt idx="0">
                  <c:v>Custo aquisição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Pressupostos!$BW$19:$BX$19</c:f>
            </c:multiLvlStrRef>
          </c:cat>
          <c:val>
            <c:numRef>
              <c:f>Pressupostos!$BW$20:$BX$20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815-4E51-917C-D61A4F997B3B}"/>
            </c:ext>
          </c:extLst>
        </c:ser>
        <c:ser>
          <c:idx val="1"/>
          <c:order val="1"/>
          <c:tx>
            <c:strRef>
              <c:f>Pressupostos!$BV$21</c:f>
              <c:strCache>
                <c:ptCount val="1"/>
                <c:pt idx="0">
                  <c:v>Dedução do IVA</c:v>
                </c:pt>
              </c:strCache>
              <c:extLst xmlns:c15="http://schemas.microsoft.com/office/drawing/2012/chart"/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Pressupostos!$BW$19:$BX$19</c:f>
            </c:multiLvlStrRef>
          </c:cat>
          <c:val>
            <c:numRef>
              <c:f>Pressupostos!$BW$21:$BX$21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C815-4E51-917C-D61A4F997B3B}"/>
            </c:ext>
          </c:extLst>
        </c:ser>
        <c:ser>
          <c:idx val="2"/>
          <c:order val="2"/>
          <c:tx>
            <c:strRef>
              <c:f>Pressupostos!$BV$22</c:f>
              <c:strCache>
                <c:ptCount val="1"/>
                <c:pt idx="0">
                  <c:v>PO AÇORES 2020</c:v>
                </c:pt>
              </c:strCache>
              <c:extLst xmlns:c15="http://schemas.microsoft.com/office/drawing/2012/chart"/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Pressupostos!$BW$19:$BX$19</c:f>
            </c:multiLvlStrRef>
          </c:cat>
          <c:val>
            <c:numRef>
              <c:f>Pressupostos!$BW$22:$BX$22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C815-4E51-917C-D61A4F997B3B}"/>
            </c:ext>
          </c:extLst>
        </c:ser>
        <c:ser>
          <c:idx val="3"/>
          <c:order val="3"/>
          <c:tx>
            <c:strRef>
              <c:f>Pressupostos!$BV$23</c:f>
              <c:strCache>
                <c:ptCount val="1"/>
                <c:pt idx="0">
                  <c:v>Poupança IRC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Pressupostos!$BW$19:$BX$19</c:f>
            </c:multiLvlStrRef>
          </c:cat>
          <c:val>
            <c:numRef>
              <c:f>Pressupostos!$BW$23:$BX$23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C815-4E51-917C-D61A4F997B3B}"/>
            </c:ext>
          </c:extLst>
        </c:ser>
        <c:ser>
          <c:idx val="4"/>
          <c:order val="4"/>
          <c:tx>
            <c:strRef>
              <c:f>Pressupostos!$BV$24</c:f>
              <c:strCache>
                <c:ptCount val="1"/>
                <c:pt idx="0">
                  <c:v>Tributação Autónoma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Pressupostos!$BW$19:$BX$19</c:f>
            </c:multiLvlStrRef>
          </c:cat>
          <c:val>
            <c:numRef>
              <c:f>Pressupostos!$BW$24:$BX$24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C815-4E51-917C-D61A4F997B3B}"/>
            </c:ext>
          </c:extLst>
        </c:ser>
        <c:ser>
          <c:idx val="5"/>
          <c:order val="5"/>
          <c:tx>
            <c:strRef>
              <c:f>Pressupostos!$BV$25</c:f>
              <c:strCache>
                <c:ptCount val="1"/>
                <c:pt idx="0">
                  <c:v>IUC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Pressupostos!$BW$19:$BX$19</c:f>
            </c:multiLvlStrRef>
          </c:cat>
          <c:val>
            <c:numRef>
              <c:f>Pressupostos!$BW$25:$BX$25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C815-4E51-917C-D61A4F997B3B}"/>
            </c:ext>
          </c:extLst>
        </c:ser>
        <c:ser>
          <c:idx val="6"/>
          <c:order val="6"/>
          <c:tx>
            <c:strRef>
              <c:f>Pressupostos!$BV$26</c:f>
              <c:strCache>
                <c:ptCount val="1"/>
                <c:pt idx="0">
                  <c:v>Custo Eletricidade/Combustível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Pressupostos!$BW$19:$BX$19</c:f>
            </c:multiLvlStrRef>
          </c:cat>
          <c:val>
            <c:numRef>
              <c:f>Pressupostos!$BW$26:$BX$26</c:f>
            </c:numRef>
          </c:val>
          <c:extLst>
            <c:ext xmlns:c16="http://schemas.microsoft.com/office/drawing/2014/chart" uri="{C3380CC4-5D6E-409C-BE32-E72D297353CC}">
              <c16:uniqueId val="{0000000B-C815-4E51-917C-D61A4F997B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35903312"/>
        <c:axId val="339128592"/>
        <c:extLst/>
      </c:barChart>
      <c:catAx>
        <c:axId val="33590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39128592"/>
        <c:crosses val="autoZero"/>
        <c:auto val="1"/>
        <c:lblAlgn val="ctr"/>
        <c:lblOffset val="100"/>
        <c:noMultiLvlLbl val="0"/>
      </c:catAx>
      <c:valAx>
        <c:axId val="339128592"/>
        <c:scaling>
          <c:orientation val="minMax"/>
        </c:scaling>
        <c:delete val="0"/>
        <c:axPos val="l"/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3590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408599</xdr:colOff>
      <xdr:row>8</xdr:row>
      <xdr:rowOff>119387</xdr:rowOff>
    </xdr:from>
    <xdr:to>
      <xdr:col>16</xdr:col>
      <xdr:colOff>389659</xdr:colOff>
      <xdr:row>28</xdr:row>
      <xdr:rowOff>5086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571501</xdr:colOff>
      <xdr:row>23</xdr:row>
      <xdr:rowOff>63102</xdr:rowOff>
    </xdr:from>
    <xdr:to>
      <xdr:col>24</xdr:col>
      <xdr:colOff>464344</xdr:colOff>
      <xdr:row>34</xdr:row>
      <xdr:rowOff>186927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142876</xdr:colOff>
      <xdr:row>25</xdr:row>
      <xdr:rowOff>15477</xdr:rowOff>
    </xdr:from>
    <xdr:to>
      <xdr:col>32</xdr:col>
      <xdr:colOff>333376</xdr:colOff>
      <xdr:row>36</xdr:row>
      <xdr:rowOff>139302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154780</xdr:colOff>
      <xdr:row>26</xdr:row>
      <xdr:rowOff>170260</xdr:rowOff>
    </xdr:from>
    <xdr:to>
      <xdr:col>42</xdr:col>
      <xdr:colOff>47624</xdr:colOff>
      <xdr:row>38</xdr:row>
      <xdr:rowOff>55960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51</xdr:col>
      <xdr:colOff>261937</xdr:colOff>
      <xdr:row>32</xdr:row>
      <xdr:rowOff>110728</xdr:rowOff>
    </xdr:from>
    <xdr:to>
      <xdr:col>55</xdr:col>
      <xdr:colOff>11906</xdr:colOff>
      <xdr:row>43</xdr:row>
      <xdr:rowOff>234553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452438</xdr:colOff>
      <xdr:row>32</xdr:row>
      <xdr:rowOff>217884</xdr:rowOff>
    </xdr:from>
    <xdr:to>
      <xdr:col>67</xdr:col>
      <xdr:colOff>202407</xdr:colOff>
      <xdr:row>44</xdr:row>
      <xdr:rowOff>103584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73</xdr:col>
      <xdr:colOff>519546</xdr:colOff>
      <xdr:row>30</xdr:row>
      <xdr:rowOff>152399</xdr:rowOff>
    </xdr:from>
    <xdr:to>
      <xdr:col>76</xdr:col>
      <xdr:colOff>173182</xdr:colOff>
      <xdr:row>41</xdr:row>
      <xdr:rowOff>228599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34</xdr:row>
      <xdr:rowOff>142875</xdr:rowOff>
    </xdr:from>
    <xdr:to>
      <xdr:col>7</xdr:col>
      <xdr:colOff>19050</xdr:colOff>
      <xdr:row>37</xdr:row>
      <xdr:rowOff>95250</xdr:rowOff>
    </xdr:to>
    <xdr:sp macro="" textlink="">
      <xdr:nvSpPr>
        <xdr:cNvPr id="2" name="CaixaDeTexto 1"/>
        <xdr:cNvSpPr txBox="1"/>
      </xdr:nvSpPr>
      <xdr:spPr>
        <a:xfrm>
          <a:off x="1638300" y="6238875"/>
          <a:ext cx="695325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800" b="1"/>
            <a:t>Nota: </a:t>
          </a:r>
          <a:r>
            <a:rPr lang="pt-PT" sz="1800"/>
            <a:t>Cálculos</a:t>
          </a:r>
          <a:r>
            <a:rPr lang="pt-PT" sz="1800" baseline="0"/>
            <a:t> de acordo com a legislação em vigor e adaptados à RAA.</a:t>
          </a:r>
          <a:endParaRPr lang="pt-PT" sz="1800"/>
        </a:p>
      </xdr:txBody>
    </xdr:sp>
    <xdr:clientData/>
  </xdr:twoCellAnchor>
</xdr:wsDr>
</file>

<file path=xl/tables/table1.xml><?xml version="1.0" encoding="utf-8"?>
<table xmlns="http://schemas.openxmlformats.org/spreadsheetml/2006/main" id="5" name="Tabela5" displayName="Tabela5" ref="B10:C15" totalsRowShown="0" headerRowDxfId="8" dataDxfId="7">
  <autoFilter ref="B10:C15"/>
  <tableColumns count="2">
    <tableColumn id="1" name="Taxas de IRC para os Açores" dataDxfId="6"/>
    <tableColumn id="2" name="Coluna1" dataDxfId="5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8:C18" totalsRowShown="0" headerRowDxfId="4">
  <autoFilter ref="A8:C18"/>
  <tableColumns count="3">
    <tableColumn id="1" name="Coluna1"/>
    <tableColumn id="2" name="Coluna2"/>
    <tableColumn id="3" name="Coluna3" dataDxfId="3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F6:H29" totalsRowShown="0" headerRowDxfId="2">
  <autoFilter ref="F6:H29"/>
  <tableColumns count="3">
    <tableColumn id="1" name="Coluna1"/>
    <tableColumn id="2" name="Coluna2"/>
    <tableColumn id="3" name="Coluna3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J6:M41" totalsRowShown="0" headerRowDxfId="1">
  <autoFilter ref="J6:M41"/>
  <tableColumns count="4">
    <tableColumn id="1" name="Coluna1"/>
    <tableColumn id="2" name="Coluna2"/>
    <tableColumn id="3" name="Coluna3"/>
    <tableColumn id="4" name="Coluna4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://www.anecra.pt/gabecono/p062.aspx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www.anecra.pt/gabecono/p062.aspx" TargetMode="External"/><Relationship Id="rId1" Type="http://schemas.openxmlformats.org/officeDocument/2006/relationships/hyperlink" Target="https://www.uve.pt/page/veiculo-eletrico-escolha-certa-empresa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poacores2020.azores.gov.pt/candidaturas/aviso-no-acores-07-2019-21/" TargetMode="External"/><Relationship Id="rId9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49"/>
  <sheetViews>
    <sheetView showGridLines="0" tabSelected="1" topLeftCell="A7" zoomScale="85" zoomScaleNormal="85" workbookViewId="0">
      <selection activeCell="F25" sqref="F25"/>
    </sheetView>
  </sheetViews>
  <sheetFormatPr defaultRowHeight="18.75" x14ac:dyDescent="0.3"/>
  <cols>
    <col min="1" max="1" width="4.140625" style="97" bestFit="1" customWidth="1"/>
    <col min="2" max="2" width="63.7109375" style="33" bestFit="1" customWidth="1"/>
    <col min="3" max="3" width="26.85546875" style="33" customWidth="1"/>
    <col min="4" max="4" width="5.5703125" style="33" customWidth="1"/>
    <col min="5" max="5" width="50.42578125" style="33" customWidth="1"/>
    <col min="6" max="6" width="26.5703125" style="33" customWidth="1"/>
    <col min="7" max="7" width="18" style="33" bestFit="1" customWidth="1"/>
    <col min="8" max="8" width="18" style="33" hidden="1" customWidth="1"/>
    <col min="9" max="17" width="0" style="33" hidden="1" customWidth="1"/>
    <col min="18" max="18" width="22.140625" style="33" hidden="1" customWidth="1"/>
    <col min="19" max="19" width="0" style="33" hidden="1" customWidth="1"/>
    <col min="20" max="20" width="19.28515625" style="33" hidden="1" customWidth="1"/>
    <col min="21" max="22" width="18" style="33" hidden="1" customWidth="1"/>
    <col min="23" max="25" width="0" style="33" hidden="1" customWidth="1"/>
    <col min="26" max="26" width="22.140625" style="33" hidden="1" customWidth="1"/>
    <col min="27" max="27" width="0" style="33" hidden="1" customWidth="1"/>
    <col min="28" max="28" width="22.140625" style="33" hidden="1" customWidth="1"/>
    <col min="29" max="29" width="0" style="33" hidden="1" customWidth="1"/>
    <col min="30" max="30" width="23.42578125" style="33" hidden="1" customWidth="1"/>
    <col min="31" max="32" width="18" style="33" hidden="1" customWidth="1"/>
    <col min="33" max="33" width="0" style="33" hidden="1" customWidth="1"/>
    <col min="34" max="34" width="23.42578125" style="33" hidden="1" customWidth="1"/>
    <col min="35" max="36" width="0" style="33" hidden="1" customWidth="1"/>
    <col min="37" max="37" width="23.42578125" style="33" hidden="1" customWidth="1"/>
    <col min="38" max="38" width="0" style="33" hidden="1" customWidth="1"/>
    <col min="39" max="39" width="23.42578125" style="33" hidden="1" customWidth="1"/>
    <col min="40" max="40" width="21" style="33" hidden="1" customWidth="1"/>
    <col min="41" max="41" width="18" style="33" hidden="1" customWidth="1"/>
    <col min="42" max="42" width="0" style="33" hidden="1" customWidth="1"/>
    <col min="43" max="43" width="23.42578125" style="33" hidden="1" customWidth="1"/>
    <col min="44" max="44" width="0" style="33" hidden="1" customWidth="1"/>
    <col min="45" max="45" width="33.5703125" style="33" hidden="1" customWidth="1"/>
    <col min="46" max="46" width="14.7109375" style="33" hidden="1" customWidth="1"/>
    <col min="47" max="47" width="18" style="33" hidden="1" customWidth="1"/>
    <col min="48" max="49" width="0" style="33" hidden="1" customWidth="1"/>
    <col min="50" max="50" width="25.5703125" style="33" hidden="1" customWidth="1"/>
    <col min="51" max="51" width="9.28515625" style="33" hidden="1" customWidth="1"/>
    <col min="52" max="52" width="25.5703125" style="33" hidden="1" customWidth="1"/>
    <col min="53" max="53" width="21" style="33" hidden="1" customWidth="1"/>
    <col min="54" max="54" width="18" style="33" hidden="1" customWidth="1"/>
    <col min="55" max="55" width="0" style="33" hidden="1" customWidth="1"/>
    <col min="56" max="56" width="25.5703125" style="33" hidden="1" customWidth="1"/>
    <col min="57" max="58" width="0" style="33" hidden="1" customWidth="1"/>
    <col min="59" max="59" width="34.7109375" style="33" hidden="1" customWidth="1"/>
    <col min="60" max="60" width="15" style="33" hidden="1" customWidth="1"/>
    <col min="61" max="62" width="0" style="33" hidden="1" customWidth="1"/>
    <col min="63" max="63" width="33.28515625" style="33" hidden="1" customWidth="1"/>
    <col min="64" max="64" width="0" style="33" hidden="1" customWidth="1"/>
    <col min="65" max="65" width="25.5703125" style="33" hidden="1" customWidth="1"/>
    <col min="66" max="66" width="21" style="33" hidden="1" customWidth="1"/>
    <col min="67" max="67" width="16.5703125" style="33" hidden="1" customWidth="1"/>
    <col min="68" max="68" width="0" style="33" hidden="1" customWidth="1"/>
    <col min="69" max="69" width="33.140625" style="33" hidden="1" customWidth="1"/>
    <col min="70" max="71" width="0" style="33" hidden="1" customWidth="1"/>
    <col min="72" max="72" width="40.140625" style="33" hidden="1" customWidth="1"/>
    <col min="73" max="73" width="0" style="33" hidden="1" customWidth="1"/>
    <col min="74" max="74" width="35.42578125" style="33" hidden="1" customWidth="1"/>
    <col min="75" max="75" width="18.7109375" style="33" hidden="1" customWidth="1"/>
    <col min="76" max="76" width="19.5703125" style="33" hidden="1" customWidth="1"/>
    <col min="77" max="77" width="0" style="33" hidden="1" customWidth="1"/>
    <col min="78" max="78" width="40.5703125" style="33" hidden="1" customWidth="1"/>
    <col min="79" max="85" width="0" style="33" hidden="1" customWidth="1"/>
    <col min="86" max="16384" width="9.140625" style="33"/>
  </cols>
  <sheetData>
    <row r="2" spans="1:15" x14ac:dyDescent="0.3">
      <c r="B2" s="112" t="s">
        <v>107</v>
      </c>
      <c r="C2" s="112"/>
      <c r="D2" s="112"/>
      <c r="E2" s="112"/>
      <c r="F2" s="112"/>
    </row>
    <row r="3" spans="1:15" x14ac:dyDescent="0.3">
      <c r="B3" s="99"/>
      <c r="C3" s="99"/>
      <c r="D3" s="99"/>
      <c r="E3" s="99"/>
      <c r="F3" s="99"/>
    </row>
    <row r="4" spans="1:15" x14ac:dyDescent="0.3">
      <c r="B4" s="99" t="s">
        <v>108</v>
      </c>
      <c r="C4" s="99"/>
      <c r="D4" s="99"/>
      <c r="E4" s="99"/>
      <c r="F4" s="99"/>
    </row>
    <row r="6" spans="1:15" x14ac:dyDescent="0.3">
      <c r="A6" s="98">
        <v>1</v>
      </c>
      <c r="B6" s="32" t="s">
        <v>66</v>
      </c>
      <c r="C6" s="102" t="s">
        <v>64</v>
      </c>
      <c r="N6" s="65" t="s">
        <v>72</v>
      </c>
      <c r="O6" s="67" t="s">
        <v>73</v>
      </c>
    </row>
    <row r="7" spans="1:15" x14ac:dyDescent="0.3">
      <c r="M7" s="66" t="s">
        <v>74</v>
      </c>
      <c r="N7" s="58">
        <f>C24</f>
        <v>400000</v>
      </c>
      <c r="O7" s="58">
        <f>F24</f>
        <v>200000</v>
      </c>
    </row>
    <row r="8" spans="1:15" hidden="1" x14ac:dyDescent="0.3">
      <c r="A8" s="98">
        <v>2</v>
      </c>
      <c r="B8" s="34" t="s">
        <v>109</v>
      </c>
      <c r="C8" s="102" t="s">
        <v>64</v>
      </c>
    </row>
    <row r="9" spans="1:15" hidden="1" x14ac:dyDescent="0.3"/>
    <row r="10" spans="1:15" hidden="1" x14ac:dyDescent="0.3">
      <c r="B10" s="38" t="s">
        <v>61</v>
      </c>
      <c r="C10" s="38" t="s">
        <v>24</v>
      </c>
    </row>
    <row r="11" spans="1:15" hidden="1" x14ac:dyDescent="0.3"/>
    <row r="12" spans="1:15" hidden="1" x14ac:dyDescent="0.3">
      <c r="B12" s="35">
        <v>0.13600000000000001</v>
      </c>
      <c r="C12" s="33" t="s">
        <v>62</v>
      </c>
    </row>
    <row r="13" spans="1:15" hidden="1" x14ac:dyDescent="0.3">
      <c r="B13" s="35">
        <v>0.16800000000000001</v>
      </c>
      <c r="C13" s="33" t="s">
        <v>63</v>
      </c>
    </row>
    <row r="14" spans="1:15" hidden="1" x14ac:dyDescent="0.3"/>
    <row r="15" spans="1:15" hidden="1" x14ac:dyDescent="0.3">
      <c r="B15" s="41">
        <v>0</v>
      </c>
      <c r="C15" s="33" t="s">
        <v>67</v>
      </c>
    </row>
    <row r="16" spans="1:15" hidden="1" x14ac:dyDescent="0.3"/>
    <row r="17" spans="1:78" hidden="1" x14ac:dyDescent="0.3">
      <c r="AT17" s="33" t="s">
        <v>72</v>
      </c>
      <c r="AU17" s="33" t="s">
        <v>73</v>
      </c>
    </row>
    <row r="18" spans="1:78" x14ac:dyDescent="0.3">
      <c r="A18" s="98">
        <v>2</v>
      </c>
      <c r="B18" s="34" t="s">
        <v>110</v>
      </c>
      <c r="C18" s="102" t="s">
        <v>65</v>
      </c>
      <c r="U18" s="113" t="s">
        <v>3</v>
      </c>
      <c r="V18" s="113"/>
      <c r="Z18" s="72" t="s">
        <v>73</v>
      </c>
      <c r="AB18" s="74" t="s">
        <v>72</v>
      </c>
      <c r="AE18" s="113" t="s">
        <v>90</v>
      </c>
      <c r="AF18" s="113"/>
      <c r="AH18" s="72" t="s">
        <v>73</v>
      </c>
      <c r="AK18" s="72" t="s">
        <v>72</v>
      </c>
      <c r="AN18" s="113" t="s">
        <v>7</v>
      </c>
      <c r="AO18" s="113"/>
      <c r="AQ18" s="72" t="s">
        <v>73</v>
      </c>
      <c r="AS18" s="33" t="s">
        <v>78</v>
      </c>
      <c r="AT18" s="60">
        <f>AE21</f>
        <v>338983.05084745766</v>
      </c>
      <c r="AU18" s="58">
        <f>Cálculos!C24</f>
        <v>169491.52542372883</v>
      </c>
      <c r="AX18" s="72" t="s">
        <v>72</v>
      </c>
      <c r="BA18" s="113" t="s">
        <v>13</v>
      </c>
      <c r="BB18" s="113"/>
      <c r="BD18" s="72" t="s">
        <v>73</v>
      </c>
      <c r="BG18" s="113" t="s">
        <v>13</v>
      </c>
      <c r="BH18" s="113"/>
      <c r="BK18" s="72" t="s">
        <v>72</v>
      </c>
      <c r="BN18" s="113" t="s">
        <v>14</v>
      </c>
      <c r="BO18" s="113"/>
      <c r="BQ18" s="72" t="s">
        <v>73</v>
      </c>
      <c r="BT18" s="72" t="s">
        <v>72</v>
      </c>
      <c r="BW18" s="113" t="s">
        <v>99</v>
      </c>
      <c r="BX18" s="113"/>
      <c r="BZ18" s="72" t="s">
        <v>73</v>
      </c>
    </row>
    <row r="19" spans="1:78" x14ac:dyDescent="0.3">
      <c r="R19" s="72" t="s">
        <v>72</v>
      </c>
      <c r="U19" s="33" t="s">
        <v>72</v>
      </c>
      <c r="V19" s="33" t="s">
        <v>73</v>
      </c>
      <c r="Z19" s="75" t="s">
        <v>76</v>
      </c>
      <c r="AB19" s="79" t="s">
        <v>76</v>
      </c>
      <c r="AE19" s="33" t="s">
        <v>72</v>
      </c>
      <c r="AF19" s="33" t="s">
        <v>73</v>
      </c>
      <c r="AH19" s="75" t="s">
        <v>76</v>
      </c>
      <c r="AK19" s="75" t="s">
        <v>76</v>
      </c>
      <c r="AN19" s="33" t="s">
        <v>72</v>
      </c>
      <c r="AO19" s="33" t="s">
        <v>73</v>
      </c>
      <c r="AQ19" s="73" t="s">
        <v>76</v>
      </c>
      <c r="AS19" s="33" t="s">
        <v>10</v>
      </c>
      <c r="AT19" s="60">
        <f>AT18*0.25</f>
        <v>84745.762711864416</v>
      </c>
      <c r="AU19" s="58">
        <f>Cálculos!C26</f>
        <v>42372.881355932208</v>
      </c>
      <c r="AX19" s="75" t="s">
        <v>76</v>
      </c>
      <c r="BA19" s="33" t="s">
        <v>72</v>
      </c>
      <c r="BB19" s="33" t="s">
        <v>73</v>
      </c>
      <c r="BD19" s="75" t="s">
        <v>76</v>
      </c>
      <c r="BG19" s="33" t="s">
        <v>88</v>
      </c>
      <c r="BH19" s="61">
        <f>F24</f>
        <v>200000</v>
      </c>
      <c r="BK19" s="73" t="s">
        <v>76</v>
      </c>
      <c r="BN19" s="33" t="s">
        <v>72</v>
      </c>
      <c r="BO19" s="33" t="s">
        <v>73</v>
      </c>
      <c r="BQ19" s="75" t="s">
        <v>76</v>
      </c>
      <c r="BT19" s="73" t="s">
        <v>76</v>
      </c>
      <c r="BW19" s="33" t="s">
        <v>72</v>
      </c>
      <c r="BX19" s="33" t="s">
        <v>73</v>
      </c>
      <c r="BZ19" s="75" t="s">
        <v>76</v>
      </c>
    </row>
    <row r="20" spans="1:78" x14ac:dyDescent="0.3">
      <c r="A20" s="98">
        <v>3</v>
      </c>
      <c r="B20" s="34" t="s">
        <v>111</v>
      </c>
      <c r="C20" s="102" t="s">
        <v>64</v>
      </c>
      <c r="R20" s="75" t="s">
        <v>76</v>
      </c>
      <c r="T20" s="33" t="s">
        <v>74</v>
      </c>
      <c r="U20" s="58">
        <f>N7</f>
        <v>400000</v>
      </c>
      <c r="V20" s="58">
        <f>F24</f>
        <v>200000</v>
      </c>
      <c r="Z20" s="63">
        <f>F24</f>
        <v>200000</v>
      </c>
      <c r="AB20" s="63">
        <f>C24</f>
        <v>400000</v>
      </c>
      <c r="AD20" s="33" t="s">
        <v>74</v>
      </c>
      <c r="AE20" s="58">
        <f>C24</f>
        <v>400000</v>
      </c>
      <c r="AF20" s="58">
        <f>F24</f>
        <v>200000</v>
      </c>
      <c r="AH20" s="63">
        <f>F24</f>
        <v>200000</v>
      </c>
      <c r="AK20" s="63">
        <f>C24</f>
        <v>400000</v>
      </c>
      <c r="AM20" s="33" t="s">
        <v>74</v>
      </c>
      <c r="AN20" s="58">
        <f>C24</f>
        <v>400000</v>
      </c>
      <c r="AO20" s="58">
        <f>F24</f>
        <v>200000</v>
      </c>
      <c r="AQ20" s="63">
        <f>F24</f>
        <v>200000</v>
      </c>
      <c r="AS20" s="33" t="s">
        <v>79</v>
      </c>
      <c r="AT20" s="60">
        <f>Cálculos!C16</f>
        <v>14237.288135593222</v>
      </c>
      <c r="AU20" s="58">
        <f>Cálculos!C28</f>
        <v>7118.6440677966111</v>
      </c>
      <c r="AX20" s="60">
        <f>C24</f>
        <v>400000</v>
      </c>
      <c r="AZ20" s="33" t="s">
        <v>74</v>
      </c>
      <c r="BA20" s="58">
        <f>C24</f>
        <v>400000</v>
      </c>
      <c r="BB20" s="58">
        <f>F24</f>
        <v>200000</v>
      </c>
      <c r="BD20" s="62">
        <f>AO20</f>
        <v>200000</v>
      </c>
      <c r="BG20" s="33" t="s">
        <v>81</v>
      </c>
      <c r="BH20" s="61">
        <f>BH19*0.25</f>
        <v>50000</v>
      </c>
      <c r="BK20" s="62">
        <f>C24</f>
        <v>400000</v>
      </c>
      <c r="BM20" s="33" t="s">
        <v>74</v>
      </c>
      <c r="BN20" s="59">
        <f>C24</f>
        <v>400000</v>
      </c>
      <c r="BO20" s="59">
        <f>F24</f>
        <v>200000</v>
      </c>
      <c r="BQ20" s="60">
        <f>BB20</f>
        <v>200000</v>
      </c>
      <c r="BT20" s="60">
        <f>BK20</f>
        <v>400000</v>
      </c>
      <c r="BV20" s="33" t="s">
        <v>74</v>
      </c>
      <c r="BW20" s="59">
        <f>BN20</f>
        <v>400000</v>
      </c>
      <c r="BX20" s="59">
        <f>BO20</f>
        <v>200000</v>
      </c>
      <c r="BZ20" s="62">
        <f>BQ20</f>
        <v>200000</v>
      </c>
    </row>
    <row r="21" spans="1:78" x14ac:dyDescent="0.3">
      <c r="R21" s="63">
        <f>C24</f>
        <v>400000</v>
      </c>
      <c r="T21" s="33" t="s">
        <v>3</v>
      </c>
      <c r="U21" s="58">
        <f>C24-U22</f>
        <v>338983.05084745766</v>
      </c>
      <c r="V21" s="58">
        <f>F24</f>
        <v>200000</v>
      </c>
      <c r="Z21" s="78" t="s">
        <v>3</v>
      </c>
      <c r="AB21" s="80" t="s">
        <v>3</v>
      </c>
      <c r="AD21" s="33" t="s">
        <v>3</v>
      </c>
      <c r="AE21" s="58">
        <f>U21</f>
        <v>338983.05084745766</v>
      </c>
      <c r="AF21" s="58">
        <f>F24</f>
        <v>200000</v>
      </c>
      <c r="AH21" s="81" t="s">
        <v>3</v>
      </c>
      <c r="AK21" s="77" t="s">
        <v>3</v>
      </c>
      <c r="AM21" s="33" t="s">
        <v>3</v>
      </c>
      <c r="AN21" s="58">
        <f>U21</f>
        <v>338983.05084745766</v>
      </c>
      <c r="AO21" s="58">
        <f>V21</f>
        <v>200000</v>
      </c>
      <c r="AQ21" s="81" t="s">
        <v>3</v>
      </c>
      <c r="AS21" s="33" t="s">
        <v>77</v>
      </c>
      <c r="AT21" s="60">
        <f>4*AT20</f>
        <v>56949.152542372889</v>
      </c>
      <c r="AU21" s="58">
        <f>Cálculos!C30</f>
        <v>28474.576271186445</v>
      </c>
      <c r="AX21" s="77" t="s">
        <v>3</v>
      </c>
      <c r="AZ21" s="33" t="s">
        <v>3</v>
      </c>
      <c r="BA21" s="58">
        <f>U21</f>
        <v>338983.05084745766</v>
      </c>
      <c r="BB21" s="58">
        <f>V21</f>
        <v>200000</v>
      </c>
      <c r="BD21" s="81" t="s">
        <v>3</v>
      </c>
      <c r="BG21" s="33" t="s">
        <v>82</v>
      </c>
      <c r="BH21" s="61">
        <f>F30</f>
        <v>1000</v>
      </c>
      <c r="BK21" s="77" t="s">
        <v>3</v>
      </c>
      <c r="BM21" s="33" t="s">
        <v>3</v>
      </c>
      <c r="BN21" s="59">
        <f>U21</f>
        <v>338983.05084745766</v>
      </c>
      <c r="BO21" s="59">
        <f>V21</f>
        <v>200000</v>
      </c>
      <c r="BQ21" s="81" t="s">
        <v>3</v>
      </c>
      <c r="BT21" s="77" t="s">
        <v>3</v>
      </c>
      <c r="BV21" s="33" t="s">
        <v>3</v>
      </c>
      <c r="BW21" s="59">
        <f t="shared" ref="BW21:BW25" si="0">BN21</f>
        <v>338983.05084745766</v>
      </c>
      <c r="BX21" s="59">
        <f t="shared" ref="BX21:BX24" si="1">BO21</f>
        <v>200000</v>
      </c>
      <c r="BZ21" s="81" t="s">
        <v>3</v>
      </c>
    </row>
    <row r="22" spans="1:78" x14ac:dyDescent="0.3">
      <c r="B22" s="114" t="s">
        <v>112</v>
      </c>
      <c r="C22" s="114"/>
      <c r="E22" s="115" t="s">
        <v>113</v>
      </c>
      <c r="F22" s="116"/>
      <c r="R22" s="77" t="s">
        <v>3</v>
      </c>
      <c r="U22" s="59">
        <f>(C24-(C24/(1+C26)))</f>
        <v>61016.949152542336</v>
      </c>
      <c r="Z22" s="71" t="s">
        <v>75</v>
      </c>
      <c r="AB22" s="63">
        <f>U22</f>
        <v>61016.949152542336</v>
      </c>
      <c r="AD22" s="33" t="s">
        <v>91</v>
      </c>
      <c r="AE22" s="59">
        <f>AE21-AB24</f>
        <v>168983.05084745766</v>
      </c>
      <c r="AF22" s="58">
        <f>AF21</f>
        <v>200000</v>
      </c>
      <c r="AH22" s="68" t="s">
        <v>75</v>
      </c>
      <c r="AK22" s="82">
        <f>AB22</f>
        <v>61016.949152542336</v>
      </c>
      <c r="AM22" s="33" t="s">
        <v>91</v>
      </c>
      <c r="AN22" s="59">
        <f>AE22</f>
        <v>168983.05084745766</v>
      </c>
      <c r="AO22" s="58">
        <f>AF22</f>
        <v>200000</v>
      </c>
      <c r="AQ22" s="68" t="s">
        <v>75</v>
      </c>
      <c r="AX22" s="82">
        <f>AB22</f>
        <v>61016.949152542336</v>
      </c>
      <c r="AZ22" s="33" t="s">
        <v>91</v>
      </c>
      <c r="BA22" s="59">
        <f>AN22</f>
        <v>168983.05084745766</v>
      </c>
      <c r="BB22" s="58">
        <f>AO22</f>
        <v>200000</v>
      </c>
      <c r="BD22" s="69" t="s">
        <v>75</v>
      </c>
      <c r="BG22" s="33" t="s">
        <v>14</v>
      </c>
      <c r="BH22" s="61" t="str">
        <f>F28</f>
        <v>Isento</v>
      </c>
      <c r="BK22" s="82">
        <f>AK22</f>
        <v>61016.949152542336</v>
      </c>
      <c r="BM22" s="33" t="s">
        <v>91</v>
      </c>
      <c r="BN22" s="59">
        <f>BA22</f>
        <v>168983.05084745766</v>
      </c>
      <c r="BO22" s="59">
        <f>BB22</f>
        <v>200000</v>
      </c>
      <c r="BQ22" s="69" t="s">
        <v>75</v>
      </c>
      <c r="BT22" s="82">
        <f>BK22</f>
        <v>61016.949152542336</v>
      </c>
      <c r="BV22" s="33" t="s">
        <v>91</v>
      </c>
      <c r="BW22" s="59">
        <f t="shared" si="0"/>
        <v>168983.05084745766</v>
      </c>
      <c r="BX22" s="59">
        <f t="shared" si="1"/>
        <v>200000</v>
      </c>
      <c r="BZ22" s="69" t="s">
        <v>75</v>
      </c>
    </row>
    <row r="23" spans="1:78" x14ac:dyDescent="0.3">
      <c r="B23" s="46"/>
      <c r="C23" s="46"/>
      <c r="E23" s="46"/>
      <c r="F23" s="46"/>
      <c r="R23" s="76">
        <f>U22</f>
        <v>61016.949152542336</v>
      </c>
      <c r="AB23" s="80" t="s">
        <v>91</v>
      </c>
      <c r="AH23" s="81" t="s">
        <v>91</v>
      </c>
      <c r="AK23" s="77" t="s">
        <v>91</v>
      </c>
      <c r="AM23" s="33" t="s">
        <v>7</v>
      </c>
      <c r="AN23" s="59">
        <f>AN22-AK26</f>
        <v>168983.05084745766</v>
      </c>
      <c r="AO23" s="58">
        <f>AO22-AQ26</f>
        <v>195800</v>
      </c>
      <c r="AQ23" s="81" t="s">
        <v>91</v>
      </c>
      <c r="AX23" s="77" t="s">
        <v>91</v>
      </c>
      <c r="AZ23" s="33" t="s">
        <v>7</v>
      </c>
      <c r="BA23" s="59">
        <f>AN23</f>
        <v>168983.05084745766</v>
      </c>
      <c r="BB23" s="58">
        <f>AO23</f>
        <v>195800</v>
      </c>
      <c r="BD23" s="81" t="s">
        <v>91</v>
      </c>
      <c r="BG23" s="33" t="s">
        <v>83</v>
      </c>
      <c r="BH23" s="61">
        <f>F32</f>
        <v>22698</v>
      </c>
      <c r="BK23" s="77" t="s">
        <v>91</v>
      </c>
      <c r="BM23" s="33" t="s">
        <v>7</v>
      </c>
      <c r="BN23" s="59">
        <f>BA23</f>
        <v>168983.05084745766</v>
      </c>
      <c r="BO23" s="59">
        <f>BB23</f>
        <v>195800</v>
      </c>
      <c r="BQ23" s="81" t="s">
        <v>91</v>
      </c>
      <c r="BT23" s="77" t="s">
        <v>91</v>
      </c>
      <c r="BV23" s="33" t="s">
        <v>7</v>
      </c>
      <c r="BW23" s="59">
        <f t="shared" si="0"/>
        <v>168983.05084745766</v>
      </c>
      <c r="BX23" s="59">
        <f t="shared" si="1"/>
        <v>195800</v>
      </c>
      <c r="BZ23" s="81" t="s">
        <v>91</v>
      </c>
    </row>
    <row r="24" spans="1:78" x14ac:dyDescent="0.3">
      <c r="A24" s="98">
        <v>4</v>
      </c>
      <c r="B24" s="46" t="s">
        <v>0</v>
      </c>
      <c r="C24" s="103">
        <v>400000</v>
      </c>
      <c r="E24" s="46" t="s">
        <v>0</v>
      </c>
      <c r="F24" s="103">
        <v>200000</v>
      </c>
      <c r="AB24" s="63">
        <f>C37</f>
        <v>170000</v>
      </c>
      <c r="AH24" s="68" t="s">
        <v>75</v>
      </c>
      <c r="AK24" s="63">
        <f>C37</f>
        <v>170000</v>
      </c>
      <c r="AQ24" s="68" t="s">
        <v>75</v>
      </c>
      <c r="AX24" s="63">
        <f>C37</f>
        <v>170000</v>
      </c>
      <c r="AZ24" s="33" t="s">
        <v>13</v>
      </c>
      <c r="BA24" s="59">
        <f>BA23-0</f>
        <v>168983.05084745766</v>
      </c>
      <c r="BB24" s="59">
        <f>BB23+BD28</f>
        <v>195800</v>
      </c>
      <c r="BD24" s="68" t="s">
        <v>75</v>
      </c>
      <c r="BG24" s="33" t="s">
        <v>84</v>
      </c>
      <c r="BH24" s="61">
        <f>F38</f>
        <v>0</v>
      </c>
      <c r="BK24" s="63">
        <f>C37</f>
        <v>170000</v>
      </c>
      <c r="BM24" s="33" t="s">
        <v>13</v>
      </c>
      <c r="BN24" s="59">
        <f>BN23-0</f>
        <v>168983.05084745766</v>
      </c>
      <c r="BO24" s="59">
        <f>BO23+BQ28</f>
        <v>195800</v>
      </c>
      <c r="BQ24" s="68" t="s">
        <v>75</v>
      </c>
      <c r="BT24" s="63">
        <f>BK24</f>
        <v>170000</v>
      </c>
      <c r="BV24" s="33" t="s">
        <v>13</v>
      </c>
      <c r="BW24" s="59">
        <f t="shared" si="0"/>
        <v>168983.05084745766</v>
      </c>
      <c r="BX24" s="59">
        <f t="shared" si="1"/>
        <v>195800</v>
      </c>
      <c r="BZ24" s="68" t="s">
        <v>75</v>
      </c>
    </row>
    <row r="25" spans="1:78" x14ac:dyDescent="0.3">
      <c r="B25" s="46"/>
      <c r="C25" s="46"/>
      <c r="E25" s="46"/>
      <c r="F25" s="50"/>
      <c r="AK25" s="77" t="s">
        <v>7</v>
      </c>
      <c r="AQ25" s="77" t="s">
        <v>7</v>
      </c>
      <c r="AX25" s="77" t="s">
        <v>7</v>
      </c>
      <c r="BD25" s="77" t="s">
        <v>7</v>
      </c>
      <c r="BG25" s="33" t="s">
        <v>85</v>
      </c>
      <c r="BH25" s="61">
        <f>SUM(BH20:BH24)</f>
        <v>73698</v>
      </c>
      <c r="BK25" s="77" t="s">
        <v>7</v>
      </c>
      <c r="BM25" s="33" t="s">
        <v>89</v>
      </c>
      <c r="BN25" s="59">
        <f>Cálculos!G23</f>
        <v>158483.05084745766</v>
      </c>
      <c r="BO25" s="59" t="e">
        <f>BO24+BQ30</f>
        <v>#VALUE!</v>
      </c>
      <c r="BQ25" s="77" t="s">
        <v>7</v>
      </c>
      <c r="BT25" s="77" t="s">
        <v>7</v>
      </c>
      <c r="BV25" s="33" t="s">
        <v>89</v>
      </c>
      <c r="BW25" s="59">
        <f t="shared" si="0"/>
        <v>158483.05084745766</v>
      </c>
      <c r="BX25" s="59">
        <f>BX24+BZ32</f>
        <v>203543.75</v>
      </c>
      <c r="BZ25" s="77" t="s">
        <v>7</v>
      </c>
    </row>
    <row r="26" spans="1:78" x14ac:dyDescent="0.3">
      <c r="A26" s="98">
        <v>5</v>
      </c>
      <c r="B26" s="46" t="s">
        <v>4</v>
      </c>
      <c r="C26" s="104">
        <v>0.18</v>
      </c>
      <c r="E26" s="100" t="s">
        <v>4</v>
      </c>
      <c r="F26" s="108">
        <v>0.18</v>
      </c>
      <c r="AK26" s="63">
        <f>Tabela3[[#This Row],[Coluna2]]</f>
        <v>0</v>
      </c>
      <c r="AQ26" s="63">
        <f>Cálculos!L11</f>
        <v>4200</v>
      </c>
      <c r="AX26" s="63">
        <f>AK26</f>
        <v>0</v>
      </c>
      <c r="BD26" s="63">
        <f>AQ26</f>
        <v>4200</v>
      </c>
      <c r="BG26" s="33" t="s">
        <v>86</v>
      </c>
      <c r="BH26" s="61">
        <f>Tabela4[[#This Row],[Coluna3]]</f>
        <v>0</v>
      </c>
      <c r="BK26" s="63">
        <f>AK26</f>
        <v>0</v>
      </c>
      <c r="BQ26" s="86">
        <f>AQ26</f>
        <v>4200</v>
      </c>
      <c r="BT26" s="63">
        <f>BK26</f>
        <v>0</v>
      </c>
      <c r="BV26" s="33" t="s">
        <v>99</v>
      </c>
      <c r="BW26" s="59">
        <f>BW25+BT32</f>
        <v>159970.55084745766</v>
      </c>
      <c r="BX26" s="59">
        <f>BX25+BZ32</f>
        <v>211287.5</v>
      </c>
      <c r="BZ26" s="63">
        <f>BQ26</f>
        <v>4200</v>
      </c>
    </row>
    <row r="27" spans="1:78" x14ac:dyDescent="0.3">
      <c r="B27" s="46"/>
      <c r="C27" s="46"/>
      <c r="E27" s="46"/>
      <c r="F27" s="46"/>
      <c r="AX27" s="77" t="s">
        <v>13</v>
      </c>
      <c r="BD27" s="84" t="s">
        <v>13</v>
      </c>
      <c r="BG27" s="33" t="s">
        <v>87</v>
      </c>
      <c r="BH27" s="61">
        <f>Cálculos!L23</f>
        <v>84781.760000000009</v>
      </c>
      <c r="BK27" s="77" t="s">
        <v>13</v>
      </c>
      <c r="BQ27" s="84" t="s">
        <v>13</v>
      </c>
      <c r="BT27" s="77" t="s">
        <v>13</v>
      </c>
      <c r="BZ27" s="84" t="s">
        <v>13</v>
      </c>
    </row>
    <row r="28" spans="1:78" x14ac:dyDescent="0.3">
      <c r="A28" s="98">
        <v>6</v>
      </c>
      <c r="B28" s="46" t="s">
        <v>14</v>
      </c>
      <c r="C28" s="92" t="s">
        <v>80</v>
      </c>
      <c r="E28" s="101" t="s">
        <v>14</v>
      </c>
      <c r="F28" s="92" t="s">
        <v>80</v>
      </c>
      <c r="G28" s="109"/>
      <c r="AX28" s="83" t="s">
        <v>80</v>
      </c>
      <c r="BD28" s="85">
        <f>Tabela4[[#This Row],[Coluna3]]</f>
        <v>0</v>
      </c>
      <c r="BK28" s="83" t="s">
        <v>80</v>
      </c>
      <c r="BQ28" s="82">
        <f>Tabela4[[#This Row],[Coluna3]]</f>
        <v>0</v>
      </c>
      <c r="BT28" s="70" t="s">
        <v>80</v>
      </c>
      <c r="BZ28" s="82">
        <f>BQ28</f>
        <v>0</v>
      </c>
    </row>
    <row r="29" spans="1:78" x14ac:dyDescent="0.3">
      <c r="B29" s="46"/>
      <c r="C29" s="50"/>
      <c r="E29" s="46"/>
      <c r="F29" s="50"/>
      <c r="BK29" s="77" t="s">
        <v>14</v>
      </c>
      <c r="BQ29" s="84" t="s">
        <v>14</v>
      </c>
      <c r="BT29" s="77" t="s">
        <v>14</v>
      </c>
      <c r="BZ29" s="84" t="s">
        <v>14</v>
      </c>
    </row>
    <row r="30" spans="1:78" x14ac:dyDescent="0.3">
      <c r="A30" s="98">
        <v>7</v>
      </c>
      <c r="B30" s="46" t="s">
        <v>35</v>
      </c>
      <c r="C30" s="103">
        <v>1000</v>
      </c>
      <c r="E30" s="46" t="s">
        <v>35</v>
      </c>
      <c r="F30" s="103">
        <v>1000</v>
      </c>
      <c r="BK30" s="83" t="s">
        <v>80</v>
      </c>
      <c r="BQ30" s="63" t="e">
        <f>F28*4</f>
        <v>#VALUE!</v>
      </c>
      <c r="BT30" s="70" t="s">
        <v>80</v>
      </c>
      <c r="BZ30" s="63" t="e">
        <f>BQ30</f>
        <v>#VALUE!</v>
      </c>
    </row>
    <row r="31" spans="1:78" x14ac:dyDescent="0.3">
      <c r="B31" s="46"/>
      <c r="C31" s="50"/>
      <c r="E31" s="46"/>
      <c r="F31" s="50"/>
      <c r="BT31" s="84" t="s">
        <v>93</v>
      </c>
      <c r="BZ31" s="84" t="s">
        <v>94</v>
      </c>
    </row>
    <row r="32" spans="1:78" x14ac:dyDescent="0.3">
      <c r="A32" s="98">
        <v>8</v>
      </c>
      <c r="B32" s="46" t="s">
        <v>100</v>
      </c>
      <c r="C32" s="91">
        <f>C33*C34*C35/100</f>
        <v>2988</v>
      </c>
      <c r="E32" s="46" t="s">
        <v>102</v>
      </c>
      <c r="F32" s="91">
        <f>F33*F34*F35/100</f>
        <v>22698</v>
      </c>
      <c r="BT32" s="88">
        <f>BU34*250*BU35</f>
        <v>1487.5000000000002</v>
      </c>
      <c r="BZ32" s="87">
        <f>CA34*250*CA35</f>
        <v>7743.7500000000009</v>
      </c>
    </row>
    <row r="33" spans="1:79" x14ac:dyDescent="0.3">
      <c r="B33" s="89" t="s">
        <v>95</v>
      </c>
      <c r="C33" s="105">
        <v>100</v>
      </c>
      <c r="E33" s="33" t="s">
        <v>97</v>
      </c>
      <c r="F33" s="107">
        <v>45</v>
      </c>
    </row>
    <row r="34" spans="1:79" x14ac:dyDescent="0.3">
      <c r="B34" s="89" t="s">
        <v>115</v>
      </c>
      <c r="C34" s="110">
        <v>7.4700000000000003E-2</v>
      </c>
      <c r="E34" s="33" t="s">
        <v>98</v>
      </c>
      <c r="F34" s="106">
        <v>1.2609999999999999</v>
      </c>
      <c r="BT34" s="33" t="s">
        <v>95</v>
      </c>
      <c r="BU34" s="33">
        <v>85</v>
      </c>
      <c r="BZ34" s="33" t="s">
        <v>97</v>
      </c>
      <c r="CA34" s="33">
        <v>25</v>
      </c>
    </row>
    <row r="35" spans="1:79" x14ac:dyDescent="0.3">
      <c r="B35" s="89" t="s">
        <v>101</v>
      </c>
      <c r="C35" s="105">
        <v>40000</v>
      </c>
      <c r="E35" s="89" t="s">
        <v>101</v>
      </c>
      <c r="F35" s="105">
        <v>40000</v>
      </c>
      <c r="BT35" s="33" t="s">
        <v>96</v>
      </c>
      <c r="BU35" s="33">
        <v>7.0000000000000007E-2</v>
      </c>
      <c r="BZ35" s="33" t="s">
        <v>98</v>
      </c>
      <c r="CA35" s="33">
        <v>1.2390000000000001</v>
      </c>
    </row>
    <row r="36" spans="1:79" x14ac:dyDescent="0.3">
      <c r="B36" s="89"/>
      <c r="C36" s="90"/>
    </row>
    <row r="37" spans="1:79" x14ac:dyDescent="0.3">
      <c r="A37" s="98">
        <v>9</v>
      </c>
      <c r="B37" s="46" t="s">
        <v>103</v>
      </c>
      <c r="C37" s="91">
        <f>0.85*(C24-F24)</f>
        <v>170000</v>
      </c>
      <c r="E37" s="46" t="s">
        <v>103</v>
      </c>
      <c r="F37" s="91">
        <v>0</v>
      </c>
    </row>
    <row r="39" spans="1:79" x14ac:dyDescent="0.3">
      <c r="A39" s="98">
        <v>10</v>
      </c>
      <c r="B39" s="46" t="s">
        <v>3</v>
      </c>
      <c r="C39" s="91">
        <f>(C24-(C24/(1+C26)))</f>
        <v>61016.949152542336</v>
      </c>
      <c r="E39" s="46" t="s">
        <v>3</v>
      </c>
      <c r="F39" s="91">
        <f>(F24-(F24/(1+F26)))</f>
        <v>30508.474576271168</v>
      </c>
    </row>
    <row r="41" spans="1:79" x14ac:dyDescent="0.3">
      <c r="A41" s="98">
        <v>11</v>
      </c>
      <c r="B41" s="46" t="s">
        <v>7</v>
      </c>
      <c r="C41" s="91">
        <f>Cálculos!T15</f>
        <v>10500</v>
      </c>
      <c r="E41" s="46" t="s">
        <v>7</v>
      </c>
      <c r="F41" s="91">
        <f>Cálculos!R15</f>
        <v>4200</v>
      </c>
    </row>
    <row r="43" spans="1:79" x14ac:dyDescent="0.3">
      <c r="A43" s="98">
        <v>12</v>
      </c>
      <c r="B43" s="46" t="s">
        <v>106</v>
      </c>
      <c r="C43" s="92" t="s">
        <v>80</v>
      </c>
      <c r="E43" s="46" t="s">
        <v>106</v>
      </c>
      <c r="F43" s="92" t="s">
        <v>80</v>
      </c>
    </row>
    <row r="44" spans="1:79" x14ac:dyDescent="0.3">
      <c r="B44" s="33" t="s">
        <v>105</v>
      </c>
      <c r="C44" s="105">
        <v>2000</v>
      </c>
      <c r="E44" s="33" t="s">
        <v>105</v>
      </c>
      <c r="F44" s="105">
        <v>2000</v>
      </c>
    </row>
    <row r="46" spans="1:79" x14ac:dyDescent="0.3">
      <c r="A46" s="98">
        <v>13</v>
      </c>
      <c r="B46" s="46" t="s">
        <v>104</v>
      </c>
      <c r="C46" s="96">
        <f>C24+(4*C30)+(4*C32)-C37-C39-C41+(4*C44)</f>
        <v>182435.05084745766</v>
      </c>
      <c r="E46" s="46" t="s">
        <v>104</v>
      </c>
      <c r="F46" s="96">
        <f>F24+(4*F30)+(4*F32)-F39-F41+(4*F44)</f>
        <v>268083.52542372886</v>
      </c>
    </row>
    <row r="49" spans="1:2" x14ac:dyDescent="0.3">
      <c r="A49" s="111" t="s">
        <v>114</v>
      </c>
      <c r="B49" s="111"/>
    </row>
  </sheetData>
  <mergeCells count="11">
    <mergeCell ref="A49:B49"/>
    <mergeCell ref="B2:F2"/>
    <mergeCell ref="BW18:BX18"/>
    <mergeCell ref="BA18:BB18"/>
    <mergeCell ref="BG18:BH18"/>
    <mergeCell ref="BN18:BO18"/>
    <mergeCell ref="B22:C22"/>
    <mergeCell ref="E22:F22"/>
    <mergeCell ref="U18:V18"/>
    <mergeCell ref="AE18:AF18"/>
    <mergeCell ref="AN18:AO18"/>
  </mergeCells>
  <pageMargins left="0.7" right="0.7" top="0.75" bottom="0.75" header="0.3" footer="0.3"/>
  <pageSetup paperSize="9" orientation="portrait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Lista!$F$7:$F$8</xm:f>
          </x14:formula1>
          <xm:sqref>C6 C8 C18 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workbookViewId="0">
      <selection activeCell="B43" sqref="B43"/>
    </sheetView>
  </sheetViews>
  <sheetFormatPr defaultColWidth="9.28515625" defaultRowHeight="15" x14ac:dyDescent="0.25"/>
  <cols>
    <col min="1" max="1" width="12.7109375" bestFit="1" customWidth="1"/>
    <col min="2" max="2" width="30.85546875" bestFit="1" customWidth="1"/>
    <col min="3" max="3" width="27" bestFit="1" customWidth="1"/>
    <col min="6" max="6" width="26.7109375" customWidth="1"/>
    <col min="7" max="7" width="12.7109375" customWidth="1"/>
    <col min="8" max="8" width="29.28515625" customWidth="1"/>
    <col min="11" max="11" width="29.42578125" bestFit="1" customWidth="1"/>
    <col min="12" max="12" width="19.42578125" customWidth="1"/>
    <col min="13" max="13" width="16.7109375" style="5" bestFit="1" customWidth="1"/>
    <col min="15" max="15" width="12" bestFit="1" customWidth="1"/>
    <col min="17" max="17" width="22.85546875" bestFit="1" customWidth="1"/>
    <col min="18" max="20" width="36.42578125" bestFit="1" customWidth="1"/>
  </cols>
  <sheetData>
    <row r="1" spans="1:24" x14ac:dyDescent="0.25">
      <c r="A1" s="123" t="s">
        <v>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24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4" spans="1:24" x14ac:dyDescent="0.25">
      <c r="B4" s="126" t="s">
        <v>23</v>
      </c>
      <c r="C4" s="127"/>
      <c r="D4" s="127"/>
      <c r="E4" s="127"/>
      <c r="F4" s="127"/>
      <c r="G4" s="127"/>
      <c r="H4" s="127"/>
      <c r="I4" s="5"/>
    </row>
    <row r="5" spans="1:24" x14ac:dyDescent="0.25">
      <c r="Q5" s="125" t="s">
        <v>28</v>
      </c>
      <c r="R5" s="125"/>
      <c r="S5" s="125"/>
      <c r="T5" s="125"/>
      <c r="U5" s="18"/>
      <c r="V5" s="18"/>
      <c r="W5" s="18"/>
      <c r="X5" s="18"/>
    </row>
    <row r="6" spans="1:24" hidden="1" x14ac:dyDescent="0.25">
      <c r="F6" s="12" t="s">
        <v>24</v>
      </c>
      <c r="G6" s="12" t="s">
        <v>25</v>
      </c>
      <c r="H6" s="12" t="s">
        <v>26</v>
      </c>
      <c r="I6" s="12"/>
      <c r="J6" s="5" t="s">
        <v>24</v>
      </c>
      <c r="K6" s="5" t="s">
        <v>25</v>
      </c>
      <c r="L6" s="5" t="s">
        <v>26</v>
      </c>
      <c r="M6" s="5" t="s">
        <v>27</v>
      </c>
    </row>
    <row r="7" spans="1:24" x14ac:dyDescent="0.25">
      <c r="A7" s="122" t="s">
        <v>34</v>
      </c>
      <c r="B7" s="122"/>
      <c r="C7" s="122"/>
      <c r="F7" s="12"/>
      <c r="G7" s="12" t="s">
        <v>1</v>
      </c>
      <c r="H7" s="12"/>
      <c r="I7" s="12"/>
      <c r="J7" s="12"/>
      <c r="K7" s="12" t="s">
        <v>2</v>
      </c>
      <c r="L7" s="5"/>
    </row>
    <row r="8" spans="1:24" hidden="1" x14ac:dyDescent="0.25">
      <c r="A8" s="5" t="s">
        <v>24</v>
      </c>
      <c r="B8" s="5" t="s">
        <v>25</v>
      </c>
      <c r="C8" s="5" t="s">
        <v>26</v>
      </c>
    </row>
    <row r="9" spans="1:24" x14ac:dyDescent="0.25">
      <c r="A9" s="5"/>
      <c r="B9" s="5" t="s">
        <v>49</v>
      </c>
      <c r="C9" s="5"/>
      <c r="F9" t="s">
        <v>0</v>
      </c>
      <c r="G9" s="19">
        <f>Pressupostos!C24</f>
        <v>400000</v>
      </c>
      <c r="H9" s="1"/>
      <c r="I9" s="1"/>
      <c r="K9" t="s">
        <v>0</v>
      </c>
      <c r="L9" s="19">
        <f>Pressupostos!F24</f>
        <v>200000</v>
      </c>
      <c r="Q9" s="124" t="s">
        <v>7</v>
      </c>
      <c r="R9" s="124"/>
      <c r="S9" s="124"/>
      <c r="T9" s="124"/>
      <c r="U9" s="11"/>
      <c r="V9" s="11"/>
      <c r="W9" s="11"/>
      <c r="X9" s="11"/>
    </row>
    <row r="10" spans="1:24" x14ac:dyDescent="0.25">
      <c r="B10" s="2">
        <v>0.25</v>
      </c>
      <c r="C10" t="s">
        <v>8</v>
      </c>
      <c r="G10" s="47"/>
      <c r="L10" s="47"/>
    </row>
    <row r="11" spans="1:24" x14ac:dyDescent="0.25">
      <c r="F11" t="s">
        <v>4</v>
      </c>
      <c r="G11" s="48">
        <f>Pressupostos!C26</f>
        <v>0.18</v>
      </c>
      <c r="H11" s="3" t="s">
        <v>32</v>
      </c>
      <c r="I11" s="3"/>
      <c r="K11" t="s">
        <v>7</v>
      </c>
      <c r="L11" s="19">
        <f>IF(C30&gt;R15,R15,C30)</f>
        <v>4200</v>
      </c>
      <c r="M11" s="5" t="s">
        <v>53</v>
      </c>
      <c r="Q11" s="22" t="s">
        <v>42</v>
      </c>
      <c r="R11" s="22" t="s">
        <v>2</v>
      </c>
      <c r="S11" s="22" t="s">
        <v>43</v>
      </c>
      <c r="T11" s="22" t="s">
        <v>44</v>
      </c>
    </row>
    <row r="12" spans="1:24" x14ac:dyDescent="0.25">
      <c r="B12" t="s">
        <v>9</v>
      </c>
      <c r="C12" s="4">
        <f>G15</f>
        <v>338983.05084745766</v>
      </c>
      <c r="G12" s="47"/>
      <c r="L12" s="47"/>
    </row>
    <row r="13" spans="1:24" x14ac:dyDescent="0.25">
      <c r="F13" t="s">
        <v>3</v>
      </c>
      <c r="G13" s="19">
        <f>G9-(G9/(1+G11))</f>
        <v>61016.949152542336</v>
      </c>
      <c r="H13" s="1"/>
      <c r="I13" s="1"/>
      <c r="K13" t="s">
        <v>5</v>
      </c>
      <c r="L13" s="19">
        <f>L9-L11</f>
        <v>195800</v>
      </c>
      <c r="O13" s="4"/>
      <c r="Q13" s="23" t="s">
        <v>45</v>
      </c>
      <c r="R13" s="24" t="s">
        <v>46</v>
      </c>
      <c r="S13" s="43" t="s">
        <v>47</v>
      </c>
      <c r="T13" s="25" t="s">
        <v>48</v>
      </c>
    </row>
    <row r="14" spans="1:24" x14ac:dyDescent="0.25">
      <c r="A14" s="2">
        <v>0.25</v>
      </c>
      <c r="B14" t="s">
        <v>10</v>
      </c>
      <c r="C14" s="4">
        <f>C12*A14</f>
        <v>84745.762711864416</v>
      </c>
      <c r="G14" s="47"/>
      <c r="L14" s="47"/>
      <c r="R14" s="42">
        <v>25000</v>
      </c>
      <c r="S14" s="44">
        <v>50000</v>
      </c>
      <c r="T14" s="45">
        <v>62500</v>
      </c>
    </row>
    <row r="15" spans="1:24" x14ac:dyDescent="0.25">
      <c r="F15" t="s">
        <v>5</v>
      </c>
      <c r="G15" s="49">
        <f>G9-G13</f>
        <v>338983.05084745766</v>
      </c>
      <c r="H15" s="4"/>
      <c r="I15" s="4"/>
      <c r="K15" t="s">
        <v>14</v>
      </c>
      <c r="L15" s="19" t="str">
        <f>Pressupostos!F28</f>
        <v>Isento</v>
      </c>
      <c r="M15" s="30" t="s">
        <v>31</v>
      </c>
      <c r="Q15" s="23" t="s">
        <v>7</v>
      </c>
      <c r="R15" s="26">
        <f>IF(Pressupostos!C18="Sim",Pressupostos!B12*Cálculos!R14,IF(Pressupostos!C20="Sim",Pressupostos!B13*Cálculos!R14,0))</f>
        <v>4200</v>
      </c>
      <c r="S15" s="26">
        <f>IF(Pressupostos!C18="Sim",Pressupostos!B12*Cálculos!S14,IF(Pressupostos!C20="Sim",Pressupostos!B13*Cálculos!S14,0))</f>
        <v>8400</v>
      </c>
      <c r="T15" s="26">
        <f>IF(Pressupostos!C18="Sim",Pressupostos!B12*Cálculos!T14,IF(Pressupostos!C20="Sim",Pressupostos!B13*Cálculos!T14,0))</f>
        <v>10500</v>
      </c>
    </row>
    <row r="16" spans="1:24" x14ac:dyDescent="0.25">
      <c r="A16" s="36">
        <f>IF(Pressupostos!C8="Sim",Pressupostos!B13,IF(Pressupostos!C6="Não",Pressupostos!B15,Pressupostos!B12))</f>
        <v>0.16800000000000001</v>
      </c>
      <c r="B16" t="s">
        <v>11</v>
      </c>
      <c r="C16" s="4">
        <f>C14*A16</f>
        <v>14237.288135593222</v>
      </c>
      <c r="G16" s="47"/>
      <c r="L16" s="47"/>
    </row>
    <row r="17" spans="1:24" x14ac:dyDescent="0.25">
      <c r="F17" t="s">
        <v>6</v>
      </c>
      <c r="G17" s="19">
        <f>Pressupostos!C37</f>
        <v>170000</v>
      </c>
      <c r="H17" s="64" t="s">
        <v>92</v>
      </c>
      <c r="J17">
        <v>4</v>
      </c>
      <c r="K17" t="s">
        <v>16</v>
      </c>
      <c r="L17" s="19" t="e">
        <f>L15*J17</f>
        <v>#VALUE!</v>
      </c>
    </row>
    <row r="18" spans="1:24" x14ac:dyDescent="0.25">
      <c r="A18">
        <v>4</v>
      </c>
      <c r="B18" t="s">
        <v>12</v>
      </c>
      <c r="C18" s="4">
        <f>A18*C16</f>
        <v>56949.152542372889</v>
      </c>
      <c r="G18" s="47"/>
      <c r="L18" s="47"/>
    </row>
    <row r="19" spans="1:24" x14ac:dyDescent="0.25">
      <c r="F19" t="s">
        <v>5</v>
      </c>
      <c r="G19" s="49">
        <f>G15-G17</f>
        <v>168983.05084745766</v>
      </c>
      <c r="H19" s="4"/>
      <c r="I19" s="4"/>
      <c r="K19" t="s">
        <v>5</v>
      </c>
      <c r="L19" s="19" t="e">
        <f>L13+L17</f>
        <v>#VALUE!</v>
      </c>
    </row>
    <row r="20" spans="1:24" x14ac:dyDescent="0.25">
      <c r="A20" s="122" t="s">
        <v>52</v>
      </c>
      <c r="B20" s="122"/>
      <c r="C20" s="122"/>
      <c r="L20" s="47"/>
    </row>
    <row r="21" spans="1:24" x14ac:dyDescent="0.25">
      <c r="A21" s="16"/>
      <c r="B21" s="16" t="s">
        <v>51</v>
      </c>
      <c r="C21" s="16"/>
      <c r="F21" t="s">
        <v>7</v>
      </c>
      <c r="G21" s="4">
        <f>IF(C18&lt;T15,C18,T15)</f>
        <v>10500</v>
      </c>
      <c r="H21" s="5" t="s">
        <v>33</v>
      </c>
      <c r="I21" s="4"/>
      <c r="K21" s="12" t="s">
        <v>17</v>
      </c>
      <c r="L21" s="19">
        <f>L37*L35</f>
        <v>21195.440000000002</v>
      </c>
      <c r="M21" s="5" t="s">
        <v>54</v>
      </c>
    </row>
    <row r="22" spans="1:24" x14ac:dyDescent="0.25">
      <c r="A22" s="6"/>
      <c r="B22" s="7">
        <v>0.25</v>
      </c>
      <c r="C22" s="6" t="s">
        <v>50</v>
      </c>
      <c r="L22" s="47"/>
      <c r="Q22" s="121" t="s">
        <v>29</v>
      </c>
      <c r="R22" s="121"/>
      <c r="S22" s="121"/>
      <c r="T22" s="121"/>
      <c r="U22" s="121"/>
      <c r="V22" s="121"/>
      <c r="W22" s="121"/>
      <c r="X22" s="121"/>
    </row>
    <row r="23" spans="1:24" x14ac:dyDescent="0.25">
      <c r="A23" s="17"/>
      <c r="B23" s="17"/>
      <c r="C23" s="17"/>
      <c r="F23" t="s">
        <v>5</v>
      </c>
      <c r="G23" s="4">
        <f>G19-G21</f>
        <v>158483.05084745766</v>
      </c>
      <c r="H23" s="4"/>
      <c r="I23" s="4"/>
      <c r="J23">
        <v>4</v>
      </c>
      <c r="K23" t="s">
        <v>22</v>
      </c>
      <c r="L23" s="49">
        <f>J23*L21</f>
        <v>84781.760000000009</v>
      </c>
    </row>
    <row r="24" spans="1:24" x14ac:dyDescent="0.25">
      <c r="A24" s="6"/>
      <c r="B24" s="6" t="s">
        <v>71</v>
      </c>
      <c r="C24" s="8">
        <f>L9/(1+G11)</f>
        <v>169491.52542372883</v>
      </c>
      <c r="L24" s="47"/>
      <c r="Q24" s="119" t="s">
        <v>60</v>
      </c>
      <c r="R24" s="119"/>
      <c r="S24" s="119"/>
      <c r="T24" s="119"/>
    </row>
    <row r="25" spans="1:24" x14ac:dyDescent="0.25">
      <c r="A25" s="17"/>
      <c r="B25" s="17"/>
      <c r="C25" s="17"/>
      <c r="F25" t="s">
        <v>13</v>
      </c>
      <c r="G25" t="s">
        <v>15</v>
      </c>
      <c r="J25" s="2">
        <v>0.25</v>
      </c>
      <c r="K25" t="s">
        <v>18</v>
      </c>
      <c r="L25" s="19">
        <f>J25*L9</f>
        <v>50000</v>
      </c>
    </row>
    <row r="26" spans="1:24" x14ac:dyDescent="0.25">
      <c r="A26" s="7">
        <v>0.25</v>
      </c>
      <c r="B26" s="6" t="s">
        <v>10</v>
      </c>
      <c r="C26" s="8">
        <f>C24*A26</f>
        <v>42372.881355932208</v>
      </c>
      <c r="L26" s="47"/>
      <c r="P26" s="120" t="s">
        <v>55</v>
      </c>
      <c r="Q26" s="120"/>
      <c r="R26" s="20" t="s">
        <v>2</v>
      </c>
      <c r="S26" s="20" t="s">
        <v>43</v>
      </c>
      <c r="T26" s="20" t="s">
        <v>44</v>
      </c>
    </row>
    <row r="27" spans="1:24" x14ac:dyDescent="0.25">
      <c r="A27" s="17"/>
      <c r="B27" s="17"/>
      <c r="C27" s="17"/>
      <c r="F27" t="s">
        <v>14</v>
      </c>
      <c r="G27" t="s">
        <v>15</v>
      </c>
      <c r="K27" t="s">
        <v>35</v>
      </c>
      <c r="L27" s="19">
        <f>Pressupostos!F30</f>
        <v>1000</v>
      </c>
      <c r="M27" s="5" t="s">
        <v>19</v>
      </c>
    </row>
    <row r="28" spans="1:24" x14ac:dyDescent="0.25">
      <c r="A28" s="37">
        <f>IF(Pressupostos!C8="Sim",Pressupostos!B13,IF(Pressupostos!C6="Não",Pressupostos!B15,Pressupostos!B12))</f>
        <v>0.16800000000000001</v>
      </c>
      <c r="B28" s="6" t="s">
        <v>11</v>
      </c>
      <c r="C28" s="8">
        <f>C26*A28</f>
        <v>7118.6440677966111</v>
      </c>
      <c r="L28" s="47"/>
      <c r="P28" s="27" t="s">
        <v>58</v>
      </c>
      <c r="Q28" s="27">
        <v>25000</v>
      </c>
      <c r="R28" s="21">
        <f>IF(Pressupostos!C6="Sim",Cálculos!R37,Cálculos!R43)</f>
        <v>0.08</v>
      </c>
      <c r="S28" s="21">
        <f>IF(Pressupostos!C6="Sim",Cálculos!S37,Cálculos!S43)</f>
        <v>0.04</v>
      </c>
      <c r="T28" s="21">
        <f>IF(Pressupostos!C6="Sim",Cálculos!T37,Cálculos!T43)</f>
        <v>0</v>
      </c>
    </row>
    <row r="29" spans="1:24" x14ac:dyDescent="0.25">
      <c r="A29" s="17"/>
      <c r="B29" s="17"/>
      <c r="C29" s="17"/>
      <c r="F29" s="15" t="s">
        <v>39</v>
      </c>
      <c r="G29" s="13">
        <f>G23</f>
        <v>158483.05084745766</v>
      </c>
      <c r="H29" s="14"/>
      <c r="I29" s="4"/>
      <c r="K29" t="s">
        <v>36</v>
      </c>
      <c r="L29" s="19" t="str">
        <f>L15</f>
        <v>Isento</v>
      </c>
      <c r="M29" s="30" t="s">
        <v>31</v>
      </c>
      <c r="P29" s="5"/>
      <c r="Q29" s="5"/>
      <c r="R29" s="5"/>
      <c r="S29" s="5"/>
      <c r="T29" s="5"/>
    </row>
    <row r="30" spans="1:24" x14ac:dyDescent="0.25">
      <c r="A30" s="9">
        <v>4</v>
      </c>
      <c r="B30" s="9" t="s">
        <v>12</v>
      </c>
      <c r="C30" s="10">
        <f>A30*C28</f>
        <v>28474.576271186445</v>
      </c>
      <c r="L30" s="47"/>
      <c r="P30" s="27" t="s">
        <v>57</v>
      </c>
      <c r="Q30" s="27" t="s">
        <v>59</v>
      </c>
      <c r="R30" s="21">
        <f>IF(Pressupostos!C6="Sim",Cálculos!R39,Cálculos!R45)</f>
        <v>0.22</v>
      </c>
      <c r="S30" s="21">
        <f>IF(Pressupostos!C6="Sim",Cálculos!S39,Cálculos!S45)</f>
        <v>0.08</v>
      </c>
      <c r="T30" s="21">
        <f>IF(Pressupostos!C6="Sim",Cálculos!T39,Cálculos!T45)</f>
        <v>0</v>
      </c>
    </row>
    <row r="31" spans="1:24" x14ac:dyDescent="0.25">
      <c r="K31" t="s">
        <v>37</v>
      </c>
      <c r="L31" s="19">
        <f>Pressupostos!F32</f>
        <v>22698</v>
      </c>
      <c r="P31" s="5"/>
      <c r="Q31" s="5"/>
      <c r="R31" s="5"/>
      <c r="S31" s="5"/>
      <c r="T31" s="5"/>
    </row>
    <row r="32" spans="1:24" x14ac:dyDescent="0.25">
      <c r="L32" s="47"/>
      <c r="P32" s="27" t="s">
        <v>56</v>
      </c>
      <c r="Q32" s="28">
        <v>35000</v>
      </c>
      <c r="R32" s="21">
        <f>IF(Pressupostos!C6="Sim",Cálculos!R41,Cálculos!R47)</f>
        <v>0.28000000000000003</v>
      </c>
      <c r="S32" s="21">
        <f>IF(Pressupostos!C6="Sim",Cálculos!S41,Cálculos!S47)</f>
        <v>0.14000000000000001</v>
      </c>
      <c r="T32" s="21">
        <f>IF(Pressupostos!C6="Sim",Cálculos!T41,Cálculos!T47)</f>
        <v>0</v>
      </c>
    </row>
    <row r="33" spans="10:20" x14ac:dyDescent="0.25">
      <c r="K33" t="s">
        <v>38</v>
      </c>
      <c r="L33" s="19">
        <f>Pressupostos!F44</f>
        <v>2000</v>
      </c>
    </row>
    <row r="34" spans="10:20" x14ac:dyDescent="0.25">
      <c r="L34" s="47"/>
    </row>
    <row r="35" spans="10:20" x14ac:dyDescent="0.25">
      <c r="K35" t="s">
        <v>21</v>
      </c>
      <c r="L35" s="19">
        <f>SUM(L25:L33)</f>
        <v>75698</v>
      </c>
      <c r="R35" s="117" t="s">
        <v>68</v>
      </c>
      <c r="S35" s="117"/>
      <c r="T35" s="117"/>
    </row>
    <row r="36" spans="10:20" x14ac:dyDescent="0.25">
      <c r="L36" s="47"/>
    </row>
    <row r="37" spans="10:20" x14ac:dyDescent="0.25">
      <c r="K37" t="s">
        <v>20</v>
      </c>
      <c r="L37" s="29">
        <f>IF(L9&gt;Q32,R32,IF(L9&lt;Q28,R28,R30))</f>
        <v>0.28000000000000003</v>
      </c>
      <c r="M37" s="5" t="s">
        <v>30</v>
      </c>
      <c r="R37" s="39">
        <v>0.08</v>
      </c>
      <c r="S37" s="39">
        <v>0.04</v>
      </c>
      <c r="T37" s="39">
        <v>0</v>
      </c>
    </row>
    <row r="38" spans="10:20" x14ac:dyDescent="0.25">
      <c r="J38" s="93"/>
      <c r="K38" s="93"/>
      <c r="L38" s="94"/>
      <c r="M38" s="93"/>
    </row>
    <row r="39" spans="10:20" x14ac:dyDescent="0.25">
      <c r="J39" s="93"/>
      <c r="K39" s="93"/>
      <c r="L39" s="95"/>
      <c r="M39" s="93"/>
      <c r="R39" s="39">
        <v>0.22</v>
      </c>
      <c r="S39" s="39">
        <v>0.08</v>
      </c>
      <c r="T39" s="39">
        <v>0</v>
      </c>
    </row>
    <row r="40" spans="10:20" x14ac:dyDescent="0.25">
      <c r="J40" s="93"/>
      <c r="K40" s="93"/>
      <c r="L40" s="95"/>
      <c r="M40" s="93"/>
    </row>
    <row r="41" spans="10:20" x14ac:dyDescent="0.25">
      <c r="K41" t="s">
        <v>40</v>
      </c>
      <c r="L41" s="49" t="e">
        <f>L23+L19</f>
        <v>#VALUE!</v>
      </c>
      <c r="R41" s="39">
        <v>0.28000000000000003</v>
      </c>
      <c r="S41" s="39">
        <v>0.14000000000000001</v>
      </c>
      <c r="T41" s="39">
        <v>0</v>
      </c>
    </row>
    <row r="43" spans="10:20" x14ac:dyDescent="0.25">
      <c r="Q43" s="118" t="s">
        <v>69</v>
      </c>
      <c r="R43" s="40">
        <v>0.18</v>
      </c>
      <c r="S43" s="40">
        <v>0.14000000000000001</v>
      </c>
      <c r="T43" s="40">
        <v>0.1</v>
      </c>
    </row>
    <row r="44" spans="10:20" x14ac:dyDescent="0.25">
      <c r="Q44" s="118"/>
      <c r="R44" s="31"/>
      <c r="S44" s="31"/>
      <c r="T44" s="31"/>
    </row>
    <row r="45" spans="10:20" x14ac:dyDescent="0.25">
      <c r="Q45" s="118"/>
      <c r="R45" s="40">
        <v>0.32</v>
      </c>
      <c r="S45" s="40">
        <v>0.18</v>
      </c>
      <c r="T45" s="40">
        <v>0.1</v>
      </c>
    </row>
    <row r="46" spans="10:20" x14ac:dyDescent="0.25">
      <c r="Q46" s="118"/>
      <c r="R46" s="31"/>
      <c r="S46" s="31"/>
      <c r="T46" s="31"/>
    </row>
    <row r="47" spans="10:20" x14ac:dyDescent="0.25">
      <c r="Q47" s="118"/>
      <c r="R47" s="40">
        <v>0.38</v>
      </c>
      <c r="S47" s="40">
        <v>0.24</v>
      </c>
      <c r="T47" s="40">
        <v>0.1</v>
      </c>
    </row>
  </sheetData>
  <mergeCells count="11">
    <mergeCell ref="A7:C7"/>
    <mergeCell ref="A1:M2"/>
    <mergeCell ref="Q9:T9"/>
    <mergeCell ref="Q5:T5"/>
    <mergeCell ref="A20:C20"/>
    <mergeCell ref="B4:H4"/>
    <mergeCell ref="R35:T35"/>
    <mergeCell ref="Q43:Q47"/>
    <mergeCell ref="Q24:T24"/>
    <mergeCell ref="P26:Q26"/>
    <mergeCell ref="Q22:X22"/>
  </mergeCells>
  <hyperlinks>
    <hyperlink ref="B4" r:id="rId1"/>
    <hyperlink ref="M15" r:id="rId2"/>
    <hyperlink ref="M29" r:id="rId3"/>
    <hyperlink ref="H17" r:id="rId4"/>
  </hyperlinks>
  <pageMargins left="0.7" right="0.7" top="0.75" bottom="0.75" header="0.3" footer="0.3"/>
  <pageSetup paperSize="9" orientation="portrait" r:id="rId5"/>
  <drawing r:id="rId6"/>
  <tableParts count="3">
    <tablePart r:id="rId7"/>
    <tablePart r:id="rId8"/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F8"/>
  <sheetViews>
    <sheetView workbookViewId="0">
      <selection activeCell="F9" sqref="F9"/>
    </sheetView>
  </sheetViews>
  <sheetFormatPr defaultRowHeight="15" x14ac:dyDescent="0.25"/>
  <sheetData>
    <row r="7" spans="6:6" x14ac:dyDescent="0.25">
      <c r="F7" t="s">
        <v>64</v>
      </c>
    </row>
    <row r="8" spans="6:6" x14ac:dyDescent="0.25">
      <c r="F8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4"/>
  <sheetViews>
    <sheetView workbookViewId="0">
      <selection activeCell="C10" sqref="C10"/>
    </sheetView>
  </sheetViews>
  <sheetFormatPr defaultRowHeight="15" x14ac:dyDescent="0.25"/>
  <cols>
    <col min="2" max="2" width="41.28515625" bestFit="1" customWidth="1"/>
    <col min="3" max="3" width="30.140625" bestFit="1" customWidth="1"/>
    <col min="5" max="5" width="39.85546875" bestFit="1" customWidth="1"/>
    <col min="6" max="6" width="41" customWidth="1"/>
    <col min="7" max="7" width="14.42578125" customWidth="1"/>
  </cols>
  <sheetData>
    <row r="4" spans="2:6" x14ac:dyDescent="0.25">
      <c r="B4" s="54" t="str">
        <f>Cálculos!F29</f>
        <v>Preço Final da Viatura Elétrica</v>
      </c>
      <c r="C4" s="55">
        <f>Cálculos!G29</f>
        <v>158483.05084745766</v>
      </c>
      <c r="E4" s="56" t="s">
        <v>70</v>
      </c>
      <c r="F4" s="57" t="e">
        <f>Cálculos!L41</f>
        <v>#VALUE!</v>
      </c>
    </row>
    <row r="5" spans="2:6" x14ac:dyDescent="0.25">
      <c r="B5" s="51"/>
      <c r="C5" s="52"/>
      <c r="E5" s="51"/>
      <c r="F5" s="51"/>
    </row>
    <row r="6" spans="2:6" x14ac:dyDescent="0.25">
      <c r="B6" s="51" t="str">
        <f>Cálculos!F13</f>
        <v>Dedução do IVA</v>
      </c>
      <c r="C6" s="52">
        <f>Cálculos!G13</f>
        <v>61016.949152542336</v>
      </c>
      <c r="E6" s="51" t="str">
        <f>Relatório!B6</f>
        <v>Dedução do IVA</v>
      </c>
      <c r="F6" s="52">
        <v>0</v>
      </c>
    </row>
    <row r="7" spans="2:6" x14ac:dyDescent="0.25">
      <c r="B7" s="51"/>
      <c r="C7" s="52"/>
      <c r="E7" s="51"/>
      <c r="F7" s="52"/>
    </row>
    <row r="8" spans="2:6" x14ac:dyDescent="0.25">
      <c r="B8" s="51" t="str">
        <f>Cálculos!F17</f>
        <v>Incentivo do Estado</v>
      </c>
      <c r="C8" s="52">
        <f>Cálculos!G17</f>
        <v>170000</v>
      </c>
      <c r="E8" s="51" t="str">
        <f>Relatório!B8</f>
        <v>Incentivo do Estado</v>
      </c>
      <c r="F8" s="52">
        <v>0</v>
      </c>
    </row>
    <row r="9" spans="2:6" x14ac:dyDescent="0.25">
      <c r="B9" s="51"/>
      <c r="C9" s="52"/>
      <c r="E9" s="51"/>
      <c r="F9" s="52"/>
    </row>
    <row r="10" spans="2:6" x14ac:dyDescent="0.25">
      <c r="B10" s="51" t="str">
        <f>Cálculos!F21</f>
        <v>Poupança IRC</v>
      </c>
      <c r="C10" s="52">
        <f>Cálculos!G21</f>
        <v>10500</v>
      </c>
      <c r="E10" s="51" t="str">
        <f>Cálculos!K11</f>
        <v>Poupança IRC</v>
      </c>
      <c r="F10" s="52">
        <f>Cálculos!L11</f>
        <v>4200</v>
      </c>
    </row>
    <row r="11" spans="2:6" x14ac:dyDescent="0.25">
      <c r="B11" s="51"/>
      <c r="C11" s="52"/>
      <c r="E11" s="51"/>
      <c r="F11" s="52"/>
    </row>
    <row r="12" spans="2:6" x14ac:dyDescent="0.25">
      <c r="B12" s="51" t="str">
        <f>Cálculos!F25</f>
        <v>Tributação Autónoma</v>
      </c>
      <c r="C12" s="53" t="str">
        <f>Cálculos!G25</f>
        <v>isento</v>
      </c>
      <c r="E12" s="51" t="str">
        <f>Cálculos!K21</f>
        <v>Tibutação Autónoma</v>
      </c>
      <c r="F12" s="52">
        <f>Cálculos!L21</f>
        <v>21195.440000000002</v>
      </c>
    </row>
    <row r="13" spans="2:6" x14ac:dyDescent="0.25">
      <c r="B13" s="51"/>
      <c r="C13" s="52"/>
      <c r="E13" s="51"/>
      <c r="F13" s="52"/>
    </row>
    <row r="14" spans="2:6" x14ac:dyDescent="0.25">
      <c r="B14" s="51" t="str">
        <f>Cálculos!F27</f>
        <v>Imposto Único de Circulação</v>
      </c>
      <c r="C14" s="53" t="str">
        <f>Cálculos!G27</f>
        <v>isento</v>
      </c>
      <c r="E14" s="51" t="str">
        <f>Cálculos!K15</f>
        <v>Imposto Único de Circulação</v>
      </c>
      <c r="F14" s="52" t="str">
        <f>Cálculos!L15</f>
        <v>Isento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Pressupostos</vt:lpstr>
      <vt:lpstr>Cálculos</vt:lpstr>
      <vt:lpstr>Lista</vt:lpstr>
      <vt:lpstr>Relatório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RC. Batista</dc:creator>
  <cp:lastModifiedBy>Carlos FC. Soares</cp:lastModifiedBy>
  <dcterms:created xsi:type="dcterms:W3CDTF">2017-04-20T09:43:12Z</dcterms:created>
  <dcterms:modified xsi:type="dcterms:W3CDTF">2020-01-24T11:17:16Z</dcterms:modified>
</cp:coreProperties>
</file>